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01"/>
  <workbookPr filterPrivacy="1"/>
  <xr:revisionPtr revIDLastSave="0" documentId="8_{FD3F9D9A-1F11-40F4-AC31-C11AC35742F6}" xr6:coauthVersionLast="47" xr6:coauthVersionMax="47" xr10:uidLastSave="{00000000-0000-0000-0000-000000000000}"/>
  <bookViews>
    <workbookView xWindow="-120" yWindow="-120" windowWidth="29040" windowHeight="15720" tabRatio="854" xr2:uid="{00000000-000D-0000-FFFF-FFFF00000000}"/>
  </bookViews>
  <sheets>
    <sheet name="0 Intro" sheetId="1" r:id="rId1"/>
    <sheet name="1 Biogas evaluation" sheetId="14" r:id="rId2"/>
    <sheet name="2 Feedstock database" sheetId="4" r:id="rId3"/>
    <sheet name="3 References" sheetId="1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14" l="1"/>
  <c r="D23" i="4" l="1"/>
  <c r="D15" i="4"/>
  <c r="J19" i="14" l="1"/>
  <c r="N21" i="4" l="1"/>
  <c r="D21" i="4" s="1"/>
  <c r="M21" i="4"/>
  <c r="C21" i="4"/>
  <c r="H21" i="4"/>
  <c r="J21" i="4" s="1"/>
  <c r="L22" i="4"/>
  <c r="M22" i="4"/>
  <c r="G22" i="4"/>
  <c r="H22" i="4" s="1"/>
  <c r="L21" i="4" l="1"/>
  <c r="N22" i="4"/>
  <c r="D22" i="4" s="1"/>
  <c r="I21" i="4"/>
  <c r="K21" i="4" s="1"/>
  <c r="N26" i="4"/>
  <c r="D26" i="4" s="1"/>
  <c r="L29" i="4"/>
  <c r="L28" i="4"/>
  <c r="L27" i="4"/>
  <c r="H26" i="4"/>
  <c r="J26" i="4" s="1"/>
  <c r="L25" i="4"/>
  <c r="H25" i="4"/>
  <c r="M25" i="4" s="1"/>
  <c r="L24" i="4"/>
  <c r="H24" i="4"/>
  <c r="M24" i="4" s="1"/>
  <c r="L20" i="4"/>
  <c r="H20" i="4"/>
  <c r="M20" i="4" s="1"/>
  <c r="L19" i="4"/>
  <c r="H19" i="4"/>
  <c r="M19" i="4" s="1"/>
  <c r="H18" i="4"/>
  <c r="M18" i="4" s="1"/>
  <c r="L18" i="4"/>
  <c r="L17" i="4"/>
  <c r="H17" i="4"/>
  <c r="M17" i="4" s="1"/>
  <c r="J17" i="4" l="1"/>
  <c r="J20" i="4"/>
  <c r="J24" i="4"/>
  <c r="J19" i="4"/>
  <c r="J18" i="4"/>
  <c r="J25" i="4"/>
  <c r="C17" i="4"/>
  <c r="C18" i="4"/>
  <c r="C19" i="4"/>
  <c r="C20" i="4"/>
  <c r="C22" i="4"/>
  <c r="C23" i="4"/>
  <c r="C24" i="4"/>
  <c r="C25" i="4"/>
  <c r="C26" i="4"/>
  <c r="C27" i="4"/>
  <c r="C28" i="4"/>
  <c r="C29" i="4"/>
  <c r="C16" i="4"/>
  <c r="N25" i="4" l="1"/>
  <c r="D25" i="4" s="1"/>
  <c r="N24" i="4"/>
  <c r="D24" i="4" s="1"/>
  <c r="N20" i="4"/>
  <c r="D20" i="4" s="1"/>
  <c r="N19" i="4"/>
  <c r="D19" i="4" s="1"/>
  <c r="N18" i="4"/>
  <c r="D18" i="4" s="1"/>
  <c r="N17" i="4"/>
  <c r="D17" i="4" s="1"/>
  <c r="K28" i="4" l="1"/>
  <c r="D101" i="14" l="1"/>
  <c r="K25" i="14" l="1"/>
  <c r="U25" i="14" s="1"/>
  <c r="E25" i="14"/>
  <c r="L25" i="14"/>
  <c r="M25" i="14"/>
  <c r="O25" i="14"/>
  <c r="Q25" i="14"/>
  <c r="D25" i="14"/>
  <c r="R25" i="14"/>
  <c r="S25" i="14"/>
  <c r="J25" i="14"/>
  <c r="T25" i="14" s="1"/>
  <c r="K26" i="14"/>
  <c r="U26" i="14" s="1"/>
  <c r="L26" i="14"/>
  <c r="M26" i="14"/>
  <c r="D26" i="14"/>
  <c r="O26" i="14"/>
  <c r="Q26" i="14"/>
  <c r="R26" i="14"/>
  <c r="S26" i="14"/>
  <c r="E26" i="14"/>
  <c r="J26" i="14"/>
  <c r="T26" i="14" s="1"/>
  <c r="O21" i="14"/>
  <c r="Q21" i="14"/>
  <c r="L21" i="14"/>
  <c r="D21" i="14"/>
  <c r="J21" i="14"/>
  <c r="T21" i="14" s="1"/>
  <c r="J27" i="14"/>
  <c r="T27" i="14" s="1"/>
  <c r="K27" i="14"/>
  <c r="L27" i="14"/>
  <c r="S27" i="14"/>
  <c r="M27" i="14"/>
  <c r="O27" i="14"/>
  <c r="D27" i="14"/>
  <c r="Q27" i="14"/>
  <c r="R27" i="14"/>
  <c r="E27" i="14"/>
  <c r="O19" i="14"/>
  <c r="Q19" i="14"/>
  <c r="T19" i="14"/>
  <c r="D19" i="14"/>
  <c r="L19" i="14"/>
  <c r="M22" i="14"/>
  <c r="O22" i="14"/>
  <c r="Q22" i="14"/>
  <c r="R22" i="14"/>
  <c r="E22" i="14"/>
  <c r="J22" i="14"/>
  <c r="T22" i="14" s="1"/>
  <c r="S22" i="14"/>
  <c r="K22" i="14"/>
  <c r="U22" i="14" s="1"/>
  <c r="L22" i="14"/>
  <c r="D22" i="14"/>
  <c r="L24" i="14"/>
  <c r="D24" i="14"/>
  <c r="E24" i="14"/>
  <c r="K24" i="14"/>
  <c r="U24" i="14" s="1"/>
  <c r="M24" i="14"/>
  <c r="O24" i="14"/>
  <c r="J24" i="14"/>
  <c r="T24" i="14" s="1"/>
  <c r="Q24" i="14"/>
  <c r="R24" i="14"/>
  <c r="S24" i="14"/>
  <c r="O17" i="14"/>
  <c r="M17" i="14"/>
  <c r="Q17" i="14"/>
  <c r="L17" i="14"/>
  <c r="S17" i="14"/>
  <c r="K17" i="14"/>
  <c r="U17" i="14" s="1"/>
  <c r="R17" i="14"/>
  <c r="J17" i="14"/>
  <c r="T17" i="14" s="1"/>
  <c r="E17" i="14"/>
  <c r="L23" i="14"/>
  <c r="M23" i="14"/>
  <c r="O23" i="14"/>
  <c r="D23" i="14"/>
  <c r="E23" i="14"/>
  <c r="K23" i="14"/>
  <c r="Q23" i="14"/>
  <c r="R23" i="14"/>
  <c r="S23" i="14"/>
  <c r="J23" i="14"/>
  <c r="T23" i="14" s="1"/>
  <c r="O20" i="14"/>
  <c r="Q20" i="14"/>
  <c r="R20" i="14"/>
  <c r="S20" i="14"/>
  <c r="J20" i="14"/>
  <c r="T20" i="14" s="1"/>
  <c r="L20" i="14"/>
  <c r="K20" i="14"/>
  <c r="D20" i="14"/>
  <c r="E20" i="14"/>
  <c r="M20" i="14"/>
  <c r="Q18" i="14"/>
  <c r="R18" i="14"/>
  <c r="O18" i="14"/>
  <c r="S18" i="14"/>
  <c r="L18" i="14"/>
  <c r="D18" i="14"/>
  <c r="E18" i="14"/>
  <c r="M18" i="14"/>
  <c r="J18" i="14"/>
  <c r="T18" i="14" s="1"/>
  <c r="K18" i="14"/>
  <c r="C76" i="14"/>
  <c r="D17" i="14"/>
  <c r="C61" i="14" l="1"/>
  <c r="C54" i="14"/>
  <c r="D54" i="14"/>
  <c r="N26" i="14"/>
  <c r="P26" i="14" s="1"/>
  <c r="N23" i="14"/>
  <c r="P23" i="14" s="1"/>
  <c r="N24" i="14"/>
  <c r="P24" i="14" s="1"/>
  <c r="N22" i="14"/>
  <c r="P22" i="14" s="1"/>
  <c r="N18" i="14"/>
  <c r="P18" i="14" s="1"/>
  <c r="N27" i="14"/>
  <c r="P27" i="14" s="1"/>
  <c r="V24" i="14"/>
  <c r="W24" i="14"/>
  <c r="N20" i="14"/>
  <c r="P20" i="14" s="1"/>
  <c r="U20" i="14"/>
  <c r="U18" i="14"/>
  <c r="U23" i="14"/>
  <c r="V22" i="14"/>
  <c r="W22" i="14"/>
  <c r="U27" i="14"/>
  <c r="V26" i="14"/>
  <c r="W26" i="14"/>
  <c r="W25" i="14"/>
  <c r="V25" i="14"/>
  <c r="N25" i="14"/>
  <c r="P25" i="14" s="1"/>
  <c r="W17" i="14"/>
  <c r="V17" i="14"/>
  <c r="C64" i="14"/>
  <c r="D64" i="14"/>
  <c r="D76" i="14"/>
  <c r="C34" i="14" s="1"/>
  <c r="N17" i="14"/>
  <c r="H27" i="4"/>
  <c r="H29" i="4"/>
  <c r="H28" i="4"/>
  <c r="M27" i="4" l="1"/>
  <c r="J27" i="4"/>
  <c r="M29" i="4"/>
  <c r="N29" i="4" s="1"/>
  <c r="D29" i="4" s="1"/>
  <c r="J29" i="4"/>
  <c r="J28" i="4"/>
  <c r="M28" i="4"/>
  <c r="K21" i="14"/>
  <c r="K19" i="14"/>
  <c r="V23" i="14"/>
  <c r="W23" i="14"/>
  <c r="V18" i="14"/>
  <c r="W18" i="14"/>
  <c r="V20" i="14"/>
  <c r="W20" i="14"/>
  <c r="W27" i="14"/>
  <c r="V27" i="14"/>
  <c r="P17" i="14"/>
  <c r="N28" i="4" l="1"/>
  <c r="D28" i="4" s="1"/>
  <c r="R21" i="14"/>
  <c r="M21" i="14"/>
  <c r="M19" i="14"/>
  <c r="N27" i="4"/>
  <c r="D27" i="4" s="1"/>
  <c r="R19" i="14"/>
  <c r="U21" i="14"/>
  <c r="N21" i="14"/>
  <c r="P21" i="14" s="1"/>
  <c r="E21" i="14"/>
  <c r="E19" i="14"/>
  <c r="N19" i="14"/>
  <c r="P19" i="14" s="1"/>
  <c r="U19" i="14"/>
  <c r="S19" i="14" l="1"/>
  <c r="S21" i="14"/>
  <c r="V21" i="14"/>
  <c r="W21" i="14"/>
  <c r="W19" i="14"/>
  <c r="V19" i="14"/>
  <c r="E76" i="14"/>
  <c r="C32" i="14" s="1"/>
  <c r="J76" i="14"/>
  <c r="C57" i="14" s="1"/>
  <c r="I76" i="14"/>
  <c r="F76" i="14" l="1"/>
  <c r="K76" i="14"/>
  <c r="C37" i="14" s="1"/>
  <c r="C41" i="14" l="1"/>
  <c r="C58" i="14"/>
  <c r="G57" i="14"/>
  <c r="G58" i="14" s="1"/>
</calcChain>
</file>

<file path=xl/sharedStrings.xml><?xml version="1.0" encoding="utf-8"?>
<sst xmlns="http://schemas.openxmlformats.org/spreadsheetml/2006/main" count="253" uniqueCount="197">
  <si>
    <t>Version 1.0</t>
  </si>
  <si>
    <t>Anaerobic Digestion (AD) rapid assessment tool for biogas production potential</t>
  </si>
  <si>
    <t>With this tool, you can evaluate the potential biogas production through anaerobic digestion in a continuous wet system, according to your waste streams available, including co-processing of solid and sanitation waste</t>
  </si>
  <si>
    <r>
      <t>This tool comes hand-in-hand with the guidance document</t>
    </r>
    <r>
      <rPr>
        <b/>
        <i/>
        <sz val="11"/>
        <rFont val="Calibri"/>
        <family val="2"/>
        <scheme val="minor"/>
      </rPr>
      <t xml:space="preserve"> "Is biogas a feasible option? Assessing anaerobic digestion in humanitarian contexts" </t>
    </r>
    <r>
      <rPr>
        <sz val="11"/>
        <rFont val="Calibri"/>
        <family val="2"/>
        <scheme val="minor"/>
      </rPr>
      <t>(Zurbrügg et al., 2024).</t>
    </r>
    <r>
      <rPr>
        <b/>
        <i/>
        <sz val="11"/>
        <rFont val="Calibri"/>
        <family val="2"/>
        <scheme val="minor"/>
      </rPr>
      <t xml:space="preserve"> </t>
    </r>
    <r>
      <rPr>
        <sz val="11"/>
        <rFont val="Calibri"/>
        <family val="2"/>
        <scheme val="minor"/>
      </rPr>
      <t>If you need more background information, please consult the guidance document.</t>
    </r>
  </si>
  <si>
    <t>How to use the different sheets in this tool:</t>
  </si>
  <si>
    <r>
      <rPr>
        <b/>
        <sz val="11"/>
        <rFont val="Calibri"/>
        <family val="2"/>
        <scheme val="minor"/>
      </rPr>
      <t>1) Technology Evaluation Tool Biogas (TET-Biogas):</t>
    </r>
    <r>
      <rPr>
        <sz val="11"/>
        <rFont val="Calibri"/>
        <family val="2"/>
        <scheme val="minor"/>
      </rPr>
      <t xml:space="preserve"> evaluates the biogas production potential based on the feedstock(s) entered by the user</t>
    </r>
  </si>
  <si>
    <r>
      <t>2) Feedstock database:</t>
    </r>
    <r>
      <rPr>
        <sz val="11"/>
        <rFont val="Calibri"/>
        <family val="2"/>
        <scheme val="minor"/>
      </rPr>
      <t xml:space="preserve"> lists the feedstocks possible for biogas production; the user can add a feedstocks that are not listed</t>
    </r>
  </si>
  <si>
    <t>3) References</t>
  </si>
  <si>
    <t>Authors:</t>
  </si>
  <si>
    <t>Christian Zurbrügg, Dorian Tosi Robinson, Sara Ubbiali (Eawag / Department Sanitation, Water and Solid Waste for Development)</t>
  </si>
  <si>
    <t>Contact:</t>
  </si>
  <si>
    <t>info@sandec.ch, christian.zurbruegg@eawag.ch, dorian.tosirobinson@eawag.ch, sara.ubbiali@eawag.ch</t>
  </si>
  <si>
    <t xml:space="preserve">Contact at UNHCR DRS TSS: </t>
  </si>
  <si>
    <t>hqwash@unhcr.org</t>
  </si>
  <si>
    <r>
      <t xml:space="preserve">- The TET-Biogas tool gives a rapid approximation of biogas production potential and can be used as a first step before consulting a biogas expert.
- Prior to an implementation, thorough biogas production estimations, plant sizing and designing needs to be conducted by a specialized private-sector company, or a specialized consultant or biogas expert.
- The TET tool is part of a package developed to support field practitioners when evaluating the feasibility of anaerobic digestion in humanitarian contexts.
- </t>
    </r>
    <r>
      <rPr>
        <b/>
        <sz val="11"/>
        <rFont val="Calibri"/>
        <family val="2"/>
        <scheme val="minor"/>
      </rPr>
      <t xml:space="preserve">For more information about the preliminary assessments needed in order to use this tool and the implementation &amp; operation of biogas systems, please consult the guide "Is biogas a feasible option? - Assessing anaerobic digestion in humanitarian contexts".
</t>
    </r>
  </si>
  <si>
    <t>Technology Evaluation Tool Biogas (TET-Biogas)</t>
  </si>
  <si>
    <t>Evaluates the biogas production potential based on the feedstock(s) entered by the user</t>
  </si>
  <si>
    <t>This tool can be applied to a continuous wet system, such as fixed or floating dome systems, or a balloon digester system, as shown in the pictures.</t>
  </si>
  <si>
    <r>
      <rPr>
        <b/>
        <sz val="12"/>
        <rFont val="Calibri"/>
        <family val="2"/>
        <scheme val="minor"/>
      </rPr>
      <t xml:space="preserve">Please follow these steps to use the tool:
</t>
    </r>
    <r>
      <rPr>
        <sz val="12"/>
        <rFont val="Calibri"/>
        <family val="2"/>
        <scheme val="minor"/>
      </rPr>
      <t xml:space="preserve">0. Familiarise yourself with biogas key concepts in the guidance document: </t>
    </r>
    <r>
      <rPr>
        <b/>
        <i/>
        <sz val="12"/>
        <rFont val="Calibri"/>
        <family val="2"/>
        <scheme val="minor"/>
      </rPr>
      <t xml:space="preserve">Is biogas a feasible option? Assessing anaerobic digestion in humanitarian contexts </t>
    </r>
    <r>
      <rPr>
        <sz val="12"/>
        <rFont val="Calibri"/>
        <family val="2"/>
        <scheme val="minor"/>
      </rPr>
      <t>(Zurbrügg et al., 2024). 
1. Select your feedstock type and enter the amount in the white cells under "1) Feedstock input" below.
2. Check your mixture suitability in "2) Mixture suitability check" and follow the instructions until the mixture is suitable.
3. Read the tool results under "3) Results". Note that the results are valid only if the feedstock mixture is suitable!</t>
    </r>
  </si>
  <si>
    <t>1) Feedstock input</t>
  </si>
  <si>
    <t>Insert the type and quantities of feedstock available</t>
  </si>
  <si>
    <t>Type of feedstock</t>
  </si>
  <si>
    <t>Mass [kg/day]</t>
  </si>
  <si>
    <t>Key properties</t>
  </si>
  <si>
    <t>Moisture content (wet base)</t>
  </si>
  <si>
    <t>Total solids (wet base)</t>
  </si>
  <si>
    <t>Volatile solids (dry base)</t>
  </si>
  <si>
    <t>Ash (dry base)</t>
  </si>
  <si>
    <t>Volatile Solids (VS) loading</t>
  </si>
  <si>
    <t>BMP potential methane yield (VS)</t>
  </si>
  <si>
    <t>Daily methane yield</t>
  </si>
  <si>
    <t>Carbon (dry base)</t>
  </si>
  <si>
    <t>Nitrogen (dry base)</t>
  </si>
  <si>
    <t>Carbon to Nitrogen ratio</t>
  </si>
  <si>
    <t>Total Solids</t>
  </si>
  <si>
    <t>Carbon content</t>
  </si>
  <si>
    <t>Nitrogen content</t>
  </si>
  <si>
    <t>Moisture</t>
  </si>
  <si>
    <t>C/N ratio</t>
  </si>
  <si>
    <t>MC [%] (w.b.)</t>
  </si>
  <si>
    <t>TS [%] (w.b.)</t>
  </si>
  <si>
    <t>VS of TS [%] (d.b.)</t>
  </si>
  <si>
    <t>Ash [%] (d.b.)</t>
  </si>
  <si>
    <t>kgVS/d</t>
  </si>
  <si>
    <t>m3 CH4/kg VS</t>
  </si>
  <si>
    <t>m3 CH4/d</t>
  </si>
  <si>
    <t>C % (d.b.)</t>
  </si>
  <si>
    <t>N % (d.b.)</t>
  </si>
  <si>
    <t>Water content [kg H20]</t>
  </si>
  <si>
    <t>TS content [kg]</t>
  </si>
  <si>
    <t>C content [kg]</t>
  </si>
  <si>
    <t>N content [kg]</t>
  </si>
  <si>
    <t>2) Mixture suitability check</t>
  </si>
  <si>
    <t>Check that your feedstock mixture is suitable for anaerobic digestion and make the suggested changes until the validation box is green</t>
  </si>
  <si>
    <t>Water content</t>
  </si>
  <si>
    <t>Validation box</t>
  </si>
  <si>
    <t>Can I use this technology with the current inputs?</t>
  </si>
  <si>
    <t>3) Results</t>
  </si>
  <si>
    <t>Consider the results only if the validation box above is GREEN</t>
  </si>
  <si>
    <r>
      <t xml:space="preserve">These results are </t>
    </r>
    <r>
      <rPr>
        <b/>
        <sz val="14"/>
        <rFont val="Calibri"/>
        <family val="2"/>
        <scheme val="minor"/>
      </rPr>
      <t xml:space="preserve">theoretical estimations </t>
    </r>
    <r>
      <rPr>
        <sz val="14"/>
        <rFont val="Calibri"/>
        <family val="2"/>
        <scheme val="minor"/>
      </rPr>
      <t>and are meant to give only a first approximation. The system design and implementation should be guided by an expert.</t>
    </r>
  </si>
  <si>
    <t>Inputs</t>
  </si>
  <si>
    <t>Lower value</t>
  </si>
  <si>
    <t>Higher value</t>
  </si>
  <si>
    <t>Water [L/day]</t>
  </si>
  <si>
    <t>Amount added in your feedstock</t>
  </si>
  <si>
    <t>Manpower</t>
  </si>
  <si>
    <t>For operation and maintenance of the system</t>
  </si>
  <si>
    <t>Products</t>
  </si>
  <si>
    <t>Potential outputs</t>
  </si>
  <si>
    <t>Potential biogas production [m3/day]</t>
  </si>
  <si>
    <t>Hours of cooking on a household burner per day [h/day]</t>
  </si>
  <si>
    <t>Digestate production [L/day]</t>
  </si>
  <si>
    <t xml:space="preserve">Number of households using a stove for 5 hours per day </t>
  </si>
  <si>
    <t>Design</t>
  </si>
  <si>
    <t>Active bioreactor volume [L]</t>
  </si>
  <si>
    <t>Excludes volume for gas storage</t>
  </si>
  <si>
    <t>Space requirement [m2]</t>
  </si>
  <si>
    <t>Depends on the type of technology available. Flexible bags / balloon digesters have the highest footprint.</t>
  </si>
  <si>
    <t>Would you like to show the detailed parameters used for the calculations ?</t>
  </si>
  <si>
    <t>No</t>
  </si>
  <si>
    <t>Using the default values is recommended unless you are an experienced user of the tool and an AD expert</t>
  </si>
  <si>
    <t>Moisture content</t>
  </si>
  <si>
    <t>Total solids</t>
  </si>
  <si>
    <t>Volatile solids</t>
  </si>
  <si>
    <t>Ash</t>
  </si>
  <si>
    <t>VS loading</t>
  </si>
  <si>
    <t>MC (-)</t>
  </si>
  <si>
    <t>TS (-)</t>
  </si>
  <si>
    <t>VS of TS (-)</t>
  </si>
  <si>
    <t>Ash (-)</t>
  </si>
  <si>
    <t>Feedstock mix</t>
  </si>
  <si>
    <t>Key parameters</t>
  </si>
  <si>
    <r>
      <t xml:space="preserve">The values in the white boxes may be changed, but only for advanced users of the tool. We recommend </t>
    </r>
    <r>
      <rPr>
        <b/>
        <i/>
        <sz val="12"/>
        <rFont val="Calibri"/>
        <family val="2"/>
        <scheme val="minor"/>
      </rPr>
      <t>to not modify</t>
    </r>
    <r>
      <rPr>
        <i/>
        <sz val="12"/>
        <rFont val="Calibri"/>
        <family val="2"/>
        <scheme val="minor"/>
      </rPr>
      <t xml:space="preserve"> these values as they are based on the reference literature.</t>
    </r>
  </si>
  <si>
    <t>References (the numbers refer to the reference list in Sheet n°4)</t>
  </si>
  <si>
    <t>Suitability factor ranges</t>
  </si>
  <si>
    <t>Minimum</t>
  </si>
  <si>
    <t>Maximum</t>
  </si>
  <si>
    <t>Total solids (TS)</t>
  </si>
  <si>
    <t>[1] for max; hypothesis for min: lower TS would require too high volume for low biogas production</t>
  </si>
  <si>
    <t>Optimal C/N ratio</t>
  </si>
  <si>
    <t>[1] for min; [2] for max</t>
  </si>
  <si>
    <t>Acceptable C/N ratio</t>
  </si>
  <si>
    <t>hypothesis, optimal range from [1] is 16 - 25</t>
  </si>
  <si>
    <t>pH</t>
  </si>
  <si>
    <t>[1] &amp; This tool does not test pH suitability, beware that it is an important factor for AD to work properly. Very acidic or basic feedstocks can cause trouble.</t>
  </si>
  <si>
    <t>Ambient temperature [°C]</t>
  </si>
  <si>
    <t>hypothesis, [1] states optimal 25 - 30 °C, broader range possible</t>
  </si>
  <si>
    <t>AD parameters</t>
  </si>
  <si>
    <t>Biomethane potential (BMP) correction factor [%]</t>
  </si>
  <si>
    <t>hypothesis, accounting that the biogas produced will correspond to only a fraction of the BMP. Another estimation could be done using the reactor volume: biogas produced=0.55*Reactor_volume. In low dilution conditions (optimals to keep volume low) both methods result in comparable biogas production rates. We did our calculations based on a fraction of the BMP.</t>
  </si>
  <si>
    <r>
      <t>CH4-content in the biogas [m</t>
    </r>
    <r>
      <rPr>
        <vertAlign val="superscript"/>
        <sz val="11"/>
        <color theme="1"/>
        <rFont val="Calibri"/>
        <family val="2"/>
        <scheme val="minor"/>
      </rPr>
      <t xml:space="preserve">3 </t>
    </r>
    <r>
      <rPr>
        <sz val="11"/>
        <color theme="1"/>
        <rFont val="Calibri"/>
        <family val="2"/>
        <scheme val="minor"/>
      </rPr>
      <t>CH4/ m</t>
    </r>
    <r>
      <rPr>
        <vertAlign val="superscript"/>
        <sz val="11"/>
        <color theme="1"/>
        <rFont val="Calibri"/>
        <family val="2"/>
        <scheme val="minor"/>
      </rPr>
      <t>3</t>
    </r>
    <r>
      <rPr>
        <sz val="11"/>
        <color theme="1"/>
        <rFont val="Calibri"/>
        <family val="2"/>
        <scheme val="minor"/>
      </rPr>
      <t xml:space="preserve"> biogas]</t>
    </r>
  </si>
  <si>
    <t>[4] states from 0.5 to 0.6 - averaged here</t>
  </si>
  <si>
    <t>Average feedstock density [kg/L]</t>
  </si>
  <si>
    <t>Hydraulic retention time (HRT) [days]</t>
  </si>
  <si>
    <t>[1]</t>
  </si>
  <si>
    <t>Biogas density [kg/m3]</t>
  </si>
  <si>
    <t>[5]</t>
  </si>
  <si>
    <t>Biogas consumption parameter</t>
  </si>
  <si>
    <t>Household burners consumption [L/h]</t>
  </si>
  <si>
    <t>[6]</t>
  </si>
  <si>
    <t>Operation and design parameters</t>
  </si>
  <si>
    <t>Manpower requirement 1st ton of waste</t>
  </si>
  <si>
    <t>Manpower required per additionnal ton of waste</t>
  </si>
  <si>
    <t xml:space="preserve">[1] </t>
  </si>
  <si>
    <r>
      <t>Space requirement per ton of input feedstock per day [m</t>
    </r>
    <r>
      <rPr>
        <vertAlign val="superscript"/>
        <sz val="11"/>
        <rFont val="Calibri"/>
        <family val="2"/>
        <scheme val="minor"/>
      </rPr>
      <t>2</t>
    </r>
    <r>
      <rPr>
        <sz val="11"/>
        <rFont val="Calibri"/>
        <family val="2"/>
        <scheme val="minor"/>
      </rPr>
      <t>/(ton/day)]</t>
    </r>
  </si>
  <si>
    <t>Energy needs [kWh/(ton/day)]</t>
  </si>
  <si>
    <t>Feedstock database</t>
  </si>
  <si>
    <t>Here, you can find detailed information on possible feedstocks for biogas production. For full functionality of the tool, all columns must be filled out.</t>
  </si>
  <si>
    <t>You can find more feedstocks and data in the main source used for this database [10]</t>
  </si>
  <si>
    <t>Resource link here</t>
  </si>
  <si>
    <t>Suitability for BSF</t>
  </si>
  <si>
    <t>MC (% w.b)</t>
  </si>
  <si>
    <t>TS (% w.b.)</t>
  </si>
  <si>
    <t>VS of TS (% d.b.)</t>
  </si>
  <si>
    <t>Ash (% d.b.)</t>
  </si>
  <si>
    <t>Comments on source</t>
  </si>
  <si>
    <t>Source</t>
  </si>
  <si>
    <t>Water</t>
  </si>
  <si>
    <t>Only if too dry</t>
  </si>
  <si>
    <t>Cow manure</t>
  </si>
  <si>
    <t>Suitable</t>
  </si>
  <si>
    <t>Moisture, VS, Ash, %N calculated from averageing: Lactating Cow and Heifer from [7]
C % calculated with 0.55 * VS of TS [8]
TS calculated as beeing 100%-moisture</t>
  </si>
  <si>
    <t>[7] &amp; [8]</t>
  </si>
  <si>
    <t>Pig manure</t>
  </si>
  <si>
    <t>Moisture, VS, Ash, %N calculated from averageing: Swine - Gestating (190 kg.), Swine - Lactating (190 kg.), Boar (200 kg.), Piglets, Adolescents Pigs from [7]
C % calculated with 0.55 * VS of TS [8]
TS calculated as beeing 100%-moisture</t>
  </si>
  <si>
    <t>Chicken manure</t>
  </si>
  <si>
    <t>Moisture, VS, Ash, %N calculated from averageing: Poultry and Broiler chickens from [7]
C % calculated with 0.55 * VS of TS [8]
TS calculated as beeing 100%-moisture</t>
  </si>
  <si>
    <t>Organic waste</t>
  </si>
  <si>
    <t>Taken as equivalent to "mixed vegetable waste" from [7]
Moisture, VS, Ash, %N from [7]
C % calculated with 0.55 * VS of TS [8]
TS calculated as beeing 100%-moisture</t>
  </si>
  <si>
    <t>Human excreta</t>
  </si>
  <si>
    <t>Suitable, care pathogens</t>
  </si>
  <si>
    <t>Moisture, VS, Ash, N% , C/N ratio averaged from "Night soil" from [12]: human faeces and urine = excreta
C% calculated from N% and C/N ratio
TS calculated as beeing 100%-moisture
Methane yield calculated based on [12] yield per unit weight of dry solids</t>
  </si>
  <si>
    <t>[12]</t>
  </si>
  <si>
    <t>Human urine</t>
  </si>
  <si>
    <t>In research, not a no go</t>
  </si>
  <si>
    <t>Moisture, C%, N% from [11]
TS calculated as beeing 100%-moisture
VS, Ash, methane yield assumed to be 0</t>
  </si>
  <si>
    <t>[11]</t>
  </si>
  <si>
    <t>Flush water</t>
  </si>
  <si>
    <t>Assumed as water but with pathogen content</t>
  </si>
  <si>
    <t>Rice straw</t>
  </si>
  <si>
    <t>Can be added for structure</t>
  </si>
  <si>
    <t>Moisture, VS, Ash, %N from [7]
C % calculated with 0.55 * VS of TS [8]
TS calculated as beeing 100%-moisture</t>
  </si>
  <si>
    <t>Bagasse (sugarcane)</t>
  </si>
  <si>
    <t>Suitable if mixed</t>
  </si>
  <si>
    <t>Moisture, VS, Ash, %N from [7]
C % calculated with 0.55 * VS of TS [8]
TS calculated as beeing 100%-moisture
Sugarcane Untreated (Bagasse) from [7] for methane yield</t>
  </si>
  <si>
    <t>Fresh sawdust</t>
  </si>
  <si>
    <t>Not suitable</t>
  </si>
  <si>
    <t>VS, Ash, biomethane potential from "Wood" from [7]
Moisture &amp; TS from [9]
Carbon and Nitrogen from [10]</t>
  </si>
  <si>
    <t>[7], [9] &amp; [10]</t>
  </si>
  <si>
    <t>Wheat straw</t>
  </si>
  <si>
    <t>Leaves (dry)</t>
  </si>
  <si>
    <t>Mixed grass (fresh)</t>
  </si>
  <si>
    <t>…</t>
  </si>
  <si>
    <t>Core guide</t>
  </si>
  <si>
    <t>Zurbrügg C., Tosi Robinson D. and Ubbiali S. (2024). Is biogas a feasible option? Assessing anaerobic digestion in humanitarian contexts. Geneva Technical Hub, Geneva, Switzerland.</t>
  </si>
  <si>
    <t>Main reference</t>
  </si>
  <si>
    <t>Vögeli Y. et al. (2014). Anaerobic Digestion of Biowaste in Developing Countries: Practical Information and Case Studies. Swiss Federal Institute of Aquatic Science and Technology (Eawag), Dübendorf, Switzerland.</t>
  </si>
  <si>
    <t>Numbered references</t>
  </si>
  <si>
    <t>Zabaleta I. et al. (2020): Selecting Organic Waste Treatment Technologies. SOWATT. Eawag - Swiss Federal Institute of Aquatic Science and Technology: Dübendorf, Switzerland, p 235.</t>
  </si>
  <si>
    <t>[2]</t>
  </si>
  <si>
    <r>
      <t xml:space="preserve">Roy D. et al. (2018): Composting leachate: characterization, treatment, and future perspectives. </t>
    </r>
    <r>
      <rPr>
        <i/>
        <sz val="11"/>
        <color theme="1"/>
        <rFont val="Calibri"/>
        <family val="2"/>
        <scheme val="minor"/>
      </rPr>
      <t>Reviews in Environmental Science and Bio/Technology</t>
    </r>
    <r>
      <rPr>
        <sz val="11"/>
        <color theme="1"/>
        <rFont val="Calibri"/>
        <family val="2"/>
        <scheme val="minor"/>
      </rPr>
      <t>, (17) 323-349.</t>
    </r>
  </si>
  <si>
    <t>[3]</t>
  </si>
  <si>
    <r>
      <t xml:space="preserve">Khalid A. et al. (2011): The anaerobic digestion of solid organic waste. </t>
    </r>
    <r>
      <rPr>
        <i/>
        <sz val="11"/>
        <color theme="1"/>
        <rFont val="Calibri"/>
        <family val="2"/>
        <scheme val="minor"/>
      </rPr>
      <t>Waste Management</t>
    </r>
    <r>
      <rPr>
        <sz val="11"/>
        <color theme="1"/>
        <rFont val="Calibri"/>
        <family val="2"/>
        <scheme val="minor"/>
      </rPr>
      <t>, (31) 1737-1744.</t>
    </r>
  </si>
  <si>
    <t>[4]</t>
  </si>
  <si>
    <r>
      <t xml:space="preserve">Kondusamy D.,Kalamdhad A.S. (2014): Pre-treatment and anaerobic digestion of food waste for high rate methane production – A review. </t>
    </r>
    <r>
      <rPr>
        <i/>
        <sz val="11"/>
        <color theme="1"/>
        <rFont val="Calibri"/>
        <family val="2"/>
        <scheme val="minor"/>
      </rPr>
      <t>Journal of Environmental Chemical Engineering</t>
    </r>
    <r>
      <rPr>
        <sz val="11"/>
        <color theme="1"/>
        <rFont val="Calibri"/>
        <family val="2"/>
        <scheme val="minor"/>
      </rPr>
      <t>, (2) 1821-1830.</t>
    </r>
  </si>
  <si>
    <t>Peter Jacob Jørgensen, PlanEnergi and Researcher for a Day – Faculty of Agricultural Sciences, Aarhus University 2009 2nd edition</t>
  </si>
  <si>
    <r>
      <rPr>
        <sz val="11"/>
        <rFont val="Calibri"/>
        <family val="2"/>
        <scheme val="minor"/>
      </rPr>
      <t xml:space="preserve">Energypedia (30.04.2018). Website: </t>
    </r>
    <r>
      <rPr>
        <u/>
        <sz val="11"/>
        <color theme="10"/>
        <rFont val="Calibri"/>
        <family val="2"/>
        <scheme val="minor"/>
      </rPr>
      <t>https://energypedia.info/wiki/Biogas_Stoves</t>
    </r>
    <r>
      <rPr>
        <sz val="11"/>
        <rFont val="Calibri"/>
        <family val="2"/>
        <scheme val="minor"/>
      </rPr>
      <t>. Last visited on 12.05.2022.</t>
    </r>
  </si>
  <si>
    <t>[7]</t>
  </si>
  <si>
    <t>US Environmental Protection Agency (2022). Anaerobic Digestion Screening Tool. Version 2.2.</t>
  </si>
  <si>
    <t>[8]</t>
  </si>
  <si>
    <t>Adams, R. C., F. S. MacLean, J. K. Dixon, F. M. Bennett, G. I. Martin, and R. C. Lough. (1951). The utilization of organic wastes in N.Z.: Second interim report of the inter-departmental committee. New Zealand Engineering (November 15, 1951):396-424.</t>
  </si>
  <si>
    <t>[9]</t>
  </si>
  <si>
    <t>Horisawa et al. (1999). Biodegradation of nonlignocellulosic substances II: physical and chemical properties of sawdust before and after use as artificial soil. Journal of Wood Science.</t>
  </si>
  <si>
    <t>[10]</t>
  </si>
  <si>
    <t>Bajpai P. (2018). Biermann's Handbook of Pulp and Paper. Volume 1: Raw Material and Pulp Making. Third edition. Chapter 2 - Wood and Fiber Fundamentals.</t>
  </si>
  <si>
    <t>Gotaas H.B. (1956). Composting: Sanitary Disposal and Reclamation of Organic Wastes. The World Health Organization monograph series.</t>
  </si>
  <si>
    <t>National Research Council (1977). Methane Generation From Human, Animal, and Agricultural Wastes. Washington, DC: The National Academies Press. https://doi.org/10.17226/21482.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</si>
</sst>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40">
    <font>
      <sz val="11"/>
      <color theme="1"/>
      <name val="Calibri"/>
      <family val="2"/>
      <scheme val="minor"/>
    </font>
    <font>
      <b/>
      <sz val="11"/>
      <color theme="1"/>
      <name val="Calibri"/>
      <family val="2"/>
      <scheme val="minor"/>
    </font>
    <font>
      <b/>
      <sz val="20"/>
      <color theme="1"/>
      <name val="Calibri"/>
      <family val="2"/>
      <scheme val="minor"/>
    </font>
    <font>
      <sz val="11"/>
      <color theme="1"/>
      <name val="Calibri"/>
      <family val="2"/>
      <scheme val="minor"/>
    </font>
    <font>
      <sz val="11"/>
      <name val="Calibri"/>
      <family val="2"/>
      <scheme val="minor"/>
    </font>
    <font>
      <b/>
      <sz val="12"/>
      <color theme="1"/>
      <name val="Calibri"/>
      <family val="2"/>
      <scheme val="minor"/>
    </font>
    <font>
      <sz val="11"/>
      <color theme="2"/>
      <name val="Calibri"/>
      <family val="2"/>
      <scheme val="minor"/>
    </font>
    <font>
      <b/>
      <sz val="16"/>
      <color theme="1"/>
      <name val="Calibri"/>
      <family val="2"/>
      <scheme val="minor"/>
    </font>
    <font>
      <sz val="11"/>
      <color theme="2" tint="-0.249977111117893"/>
      <name val="Calibri"/>
      <family val="2"/>
      <scheme val="minor"/>
    </font>
    <font>
      <u/>
      <sz val="11"/>
      <color theme="10"/>
      <name val="Calibri"/>
      <family val="2"/>
      <scheme val="minor"/>
    </font>
    <font>
      <i/>
      <sz val="11"/>
      <color theme="1"/>
      <name val="Calibri"/>
      <family val="2"/>
      <scheme val="minor"/>
    </font>
    <font>
      <sz val="12"/>
      <color theme="1"/>
      <name val="Calibri"/>
      <family val="2"/>
      <scheme val="minor"/>
    </font>
    <font>
      <b/>
      <sz val="11"/>
      <name val="Calibri"/>
      <family val="2"/>
      <scheme val="minor"/>
    </font>
    <font>
      <b/>
      <i/>
      <sz val="18"/>
      <color rgb="FF0070C0"/>
      <name val="Calibri"/>
      <family val="2"/>
      <scheme val="minor"/>
    </font>
    <font>
      <i/>
      <sz val="12"/>
      <color theme="1"/>
      <name val="Calibri"/>
      <family val="2"/>
      <scheme val="minor"/>
    </font>
    <font>
      <u/>
      <sz val="12"/>
      <color theme="10"/>
      <name val="Calibri"/>
      <family val="2"/>
      <scheme val="minor"/>
    </font>
    <font>
      <b/>
      <i/>
      <sz val="14"/>
      <color rgb="FF0070C0"/>
      <name val="Calibri"/>
      <family val="2"/>
      <scheme val="minor"/>
    </font>
    <font>
      <sz val="12"/>
      <color rgb="FFFF0000"/>
      <name val="Calibri"/>
      <family val="2"/>
      <scheme val="minor"/>
    </font>
    <font>
      <sz val="16"/>
      <color theme="1"/>
      <name val="Calibri"/>
      <family val="2"/>
      <scheme val="minor"/>
    </font>
    <font>
      <b/>
      <sz val="12"/>
      <name val="Calibri"/>
      <family val="2"/>
      <scheme val="minor"/>
    </font>
    <font>
      <sz val="12"/>
      <name val="Calibri"/>
      <family val="2"/>
      <scheme val="minor"/>
    </font>
    <font>
      <b/>
      <i/>
      <sz val="12"/>
      <color rgb="FF0070C0"/>
      <name val="Calibri"/>
      <family val="2"/>
      <scheme val="minor"/>
    </font>
    <font>
      <b/>
      <sz val="11"/>
      <color rgb="FF0070C0"/>
      <name val="Calibri"/>
      <family val="2"/>
      <scheme val="minor"/>
    </font>
    <font>
      <b/>
      <sz val="16"/>
      <color rgb="FF0070C0"/>
      <name val="Calibri"/>
      <family val="2"/>
      <scheme val="minor"/>
    </font>
    <font>
      <sz val="11"/>
      <color rgb="FF0070C0"/>
      <name val="Calibri"/>
      <family val="2"/>
      <scheme val="minor"/>
    </font>
    <font>
      <b/>
      <sz val="20"/>
      <color rgb="FF0070C0"/>
      <name val="Calibri"/>
      <family val="2"/>
      <scheme val="minor"/>
    </font>
    <font>
      <i/>
      <sz val="18"/>
      <color rgb="FF0070C0"/>
      <name val="Calibri"/>
      <family val="2"/>
      <scheme val="minor"/>
    </font>
    <font>
      <b/>
      <sz val="18"/>
      <color rgb="FF0070C0"/>
      <name val="Calibri"/>
      <family val="2"/>
      <scheme val="minor"/>
    </font>
    <font>
      <sz val="14"/>
      <color rgb="FF0070C0"/>
      <name val="Calibri"/>
      <family val="2"/>
      <scheme val="minor"/>
    </font>
    <font>
      <sz val="11"/>
      <color rgb="FFFF0000"/>
      <name val="Calibri"/>
      <family val="2"/>
      <scheme val="minor"/>
    </font>
    <font>
      <i/>
      <sz val="11"/>
      <color rgb="FFFF0000"/>
      <name val="Calibri"/>
      <family val="2"/>
      <scheme val="minor"/>
    </font>
    <font>
      <b/>
      <sz val="16"/>
      <color rgb="FFFF0000"/>
      <name val="Calibri"/>
      <family val="2"/>
      <scheme val="minor"/>
    </font>
    <font>
      <i/>
      <sz val="12"/>
      <name val="Calibri"/>
      <family val="2"/>
      <scheme val="minor"/>
    </font>
    <font>
      <sz val="14"/>
      <name val="Calibri"/>
      <family val="2"/>
      <scheme val="minor"/>
    </font>
    <font>
      <vertAlign val="superscript"/>
      <sz val="11"/>
      <color theme="1"/>
      <name val="Calibri"/>
      <family val="2"/>
      <scheme val="minor"/>
    </font>
    <font>
      <b/>
      <i/>
      <sz val="12"/>
      <name val="Calibri"/>
      <family val="2"/>
      <scheme val="minor"/>
    </font>
    <font>
      <i/>
      <sz val="11"/>
      <name val="Calibri"/>
      <family val="2"/>
      <scheme val="minor"/>
    </font>
    <font>
      <b/>
      <i/>
      <sz val="11"/>
      <name val="Calibri"/>
      <family val="2"/>
      <scheme val="minor"/>
    </font>
    <font>
      <b/>
      <sz val="14"/>
      <name val="Calibri"/>
      <family val="2"/>
      <scheme val="minor"/>
    </font>
    <font>
      <vertAlign val="superscrip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9.9978637043366805E-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9" fontId="3" fillId="0" borderId="0" applyFont="0" applyFill="0" applyBorder="0" applyAlignment="0" applyProtection="0"/>
    <xf numFmtId="0" fontId="9" fillId="0" borderId="0" applyNumberFormat="0" applyFill="0" applyBorder="0" applyAlignment="0" applyProtection="0"/>
  </cellStyleXfs>
  <cellXfs count="255">
    <xf numFmtId="0" fontId="0" fillId="0" borderId="0" xfId="0"/>
    <xf numFmtId="0" fontId="0" fillId="2" borderId="0" xfId="0" applyFill="1"/>
    <xf numFmtId="0" fontId="0" fillId="2" borderId="9" xfId="0" applyFill="1" applyBorder="1"/>
    <xf numFmtId="0" fontId="0" fillId="2" borderId="0" xfId="0" applyFill="1" applyAlignment="1">
      <alignment horizontal="right"/>
    </xf>
    <xf numFmtId="0" fontId="6" fillId="2" borderId="0" xfId="0" applyFont="1" applyFill="1"/>
    <xf numFmtId="164" fontId="0" fillId="2" borderId="0" xfId="0" applyNumberFormat="1" applyFill="1"/>
    <xf numFmtId="0" fontId="7" fillId="2" borderId="0" xfId="0" applyFont="1" applyFill="1"/>
    <xf numFmtId="0" fontId="4" fillId="2" borderId="9" xfId="0" applyFont="1" applyFill="1" applyBorder="1"/>
    <xf numFmtId="0" fontId="0" fillId="2" borderId="9" xfId="0" applyFill="1" applyBorder="1" applyAlignment="1">
      <alignment horizontal="right"/>
    </xf>
    <xf numFmtId="1" fontId="0" fillId="2" borderId="9" xfId="0" applyNumberFormat="1" applyFill="1" applyBorder="1" applyAlignment="1">
      <alignment vertical="center"/>
    </xf>
    <xf numFmtId="0" fontId="0" fillId="2" borderId="9" xfId="0" applyFill="1" applyBorder="1" applyAlignment="1">
      <alignment vertical="center"/>
    </xf>
    <xf numFmtId="0" fontId="4" fillId="2" borderId="0" xfId="0" applyFont="1" applyFill="1"/>
    <xf numFmtId="0" fontId="4" fillId="2" borderId="0" xfId="0" applyFont="1" applyFill="1" applyAlignment="1">
      <alignment horizontal="center"/>
    </xf>
    <xf numFmtId="0" fontId="4" fillId="2" borderId="0" xfId="0" applyFont="1" applyFill="1" applyAlignment="1">
      <alignment horizontal="right"/>
    </xf>
    <xf numFmtId="164" fontId="4" fillId="2" borderId="0" xfId="0" applyNumberFormat="1" applyFont="1" applyFill="1"/>
    <xf numFmtId="0" fontId="0" fillId="2" borderId="0" xfId="0" applyFill="1" applyAlignment="1">
      <alignment horizontal="right" wrapText="1"/>
    </xf>
    <xf numFmtId="1" fontId="0" fillId="2" borderId="0" xfId="0" applyNumberFormat="1" applyFill="1" applyAlignment="1">
      <alignment vertical="center"/>
    </xf>
    <xf numFmtId="0" fontId="1" fillId="2" borderId="0" xfId="0" applyFont="1" applyFill="1" applyAlignment="1">
      <alignment horizontal="right"/>
    </xf>
    <xf numFmtId="0" fontId="0" fillId="4" borderId="0" xfId="0" applyFill="1"/>
    <xf numFmtId="0" fontId="0" fillId="2" borderId="0" xfId="0" applyFill="1" applyAlignment="1">
      <alignment horizontal="right" vertical="center" wrapText="1"/>
    </xf>
    <xf numFmtId="0" fontId="8" fillId="2" borderId="0" xfId="0" applyFont="1" applyFill="1" applyAlignment="1">
      <alignment vertical="center" wrapText="1"/>
    </xf>
    <xf numFmtId="0" fontId="0" fillId="2" borderId="0" xfId="0" applyFill="1" applyAlignment="1">
      <alignment horizontal="left" vertical="center" wrapText="1"/>
    </xf>
    <xf numFmtId="0" fontId="9" fillId="2" borderId="0" xfId="2" applyFill="1"/>
    <xf numFmtId="0" fontId="0" fillId="2" borderId="0" xfId="0" applyFill="1" applyAlignment="1">
      <alignment horizontal="right" vertical="center"/>
    </xf>
    <xf numFmtId="0" fontId="0" fillId="2" borderId="0" xfId="0" applyFill="1" applyAlignment="1">
      <alignment vertical="center"/>
    </xf>
    <xf numFmtId="165" fontId="0" fillId="2" borderId="0" xfId="1" applyNumberFormat="1" applyFont="1" applyFill="1" applyAlignment="1">
      <alignment horizontal="right" vertical="center"/>
    </xf>
    <xf numFmtId="2" fontId="0" fillId="2" borderId="9" xfId="0" applyNumberFormat="1" applyFill="1" applyBorder="1" applyAlignment="1">
      <alignment horizontal="right" vertical="center"/>
    </xf>
    <xf numFmtId="0" fontId="0" fillId="2" borderId="9" xfId="0" applyFill="1" applyBorder="1" applyAlignment="1">
      <alignment horizontal="right" vertical="center"/>
    </xf>
    <xf numFmtId="165" fontId="0" fillId="2" borderId="0" xfId="1" applyNumberFormat="1" applyFont="1" applyFill="1" applyAlignment="1">
      <alignment horizontal="right" vertical="center" wrapText="1"/>
    </xf>
    <xf numFmtId="0" fontId="9" fillId="2" borderId="0" xfId="2" applyFill="1" applyAlignment="1">
      <alignment vertical="center"/>
    </xf>
    <xf numFmtId="0" fontId="0" fillId="0" borderId="0" xfId="0" applyAlignment="1">
      <alignment horizontal="right" vertical="center"/>
    </xf>
    <xf numFmtId="0" fontId="0" fillId="2" borderId="0" xfId="0" applyFill="1" applyAlignment="1">
      <alignment wrapText="1"/>
    </xf>
    <xf numFmtId="0" fontId="13" fillId="2" borderId="0" xfId="0" applyFont="1" applyFill="1" applyAlignment="1">
      <alignment wrapText="1"/>
    </xf>
    <xf numFmtId="166" fontId="0" fillId="2" borderId="9" xfId="1" applyNumberFormat="1" applyFont="1" applyFill="1" applyBorder="1" applyAlignment="1">
      <alignment horizontal="right" vertical="center"/>
    </xf>
    <xf numFmtId="165" fontId="0" fillId="2" borderId="9" xfId="1" applyNumberFormat="1" applyFont="1" applyFill="1" applyBorder="1" applyAlignment="1">
      <alignment horizontal="right" vertical="center"/>
    </xf>
    <xf numFmtId="166" fontId="0" fillId="2" borderId="9" xfId="0" applyNumberFormat="1" applyFill="1" applyBorder="1" applyAlignment="1">
      <alignment horizontal="right" vertical="center"/>
    </xf>
    <xf numFmtId="2" fontId="0" fillId="2" borderId="9" xfId="0" applyNumberFormat="1" applyFill="1" applyBorder="1" applyAlignment="1">
      <alignment vertical="center"/>
    </xf>
    <xf numFmtId="166" fontId="0" fillId="2" borderId="9" xfId="0" applyNumberFormat="1" applyFill="1" applyBorder="1" applyAlignment="1">
      <alignment vertical="center"/>
    </xf>
    <xf numFmtId="166" fontId="0" fillId="2" borderId="9" xfId="1" applyNumberFormat="1" applyFont="1" applyFill="1" applyBorder="1" applyAlignment="1">
      <alignment vertical="center"/>
    </xf>
    <xf numFmtId="164" fontId="0" fillId="2" borderId="9" xfId="0" applyNumberFormat="1" applyFill="1" applyBorder="1" applyAlignment="1">
      <alignment vertical="center"/>
    </xf>
    <xf numFmtId="0" fontId="4" fillId="2" borderId="9" xfId="0" applyFont="1" applyFill="1" applyBorder="1" applyAlignment="1">
      <alignment vertical="center"/>
    </xf>
    <xf numFmtId="0" fontId="1" fillId="2" borderId="0" xfId="0" applyFont="1" applyFill="1"/>
    <xf numFmtId="0" fontId="14" fillId="2" borderId="0" xfId="0" applyFont="1" applyFill="1"/>
    <xf numFmtId="0" fontId="11" fillId="2" borderId="0" xfId="0" applyFont="1" applyFill="1"/>
    <xf numFmtId="0" fontId="15" fillId="2" borderId="0" xfId="2" applyFont="1" applyFill="1"/>
    <xf numFmtId="2" fontId="0" fillId="2" borderId="0" xfId="0" applyNumberFormat="1" applyFill="1" applyAlignment="1">
      <alignment vertical="center"/>
    </xf>
    <xf numFmtId="166" fontId="0" fillId="2" borderId="0" xfId="1" applyNumberFormat="1" applyFont="1" applyFill="1" applyBorder="1" applyAlignment="1">
      <alignment horizontal="right" vertical="center"/>
    </xf>
    <xf numFmtId="166" fontId="0" fillId="2" borderId="0" xfId="1" applyNumberFormat="1" applyFont="1" applyFill="1" applyBorder="1" applyAlignment="1">
      <alignment vertical="center"/>
    </xf>
    <xf numFmtId="165" fontId="0" fillId="2" borderId="0" xfId="1" applyNumberFormat="1" applyFont="1" applyFill="1" applyBorder="1" applyAlignment="1">
      <alignment horizontal="right"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2" fillId="2" borderId="9" xfId="0"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center" wrapText="1"/>
    </xf>
    <xf numFmtId="0" fontId="1" fillId="2" borderId="0" xfId="0" applyFont="1" applyFill="1" applyAlignment="1">
      <alignment wrapText="1"/>
    </xf>
    <xf numFmtId="0" fontId="16" fillId="2" borderId="0" xfId="0" applyFont="1" applyFill="1" applyAlignment="1">
      <alignment vertical="center"/>
    </xf>
    <xf numFmtId="0" fontId="18" fillId="2" borderId="0" xfId="0" applyFont="1" applyFill="1"/>
    <xf numFmtId="0" fontId="0" fillId="2" borderId="0" xfId="0" applyFill="1" applyAlignment="1">
      <alignment horizontal="center" vertical="top"/>
    </xf>
    <xf numFmtId="0" fontId="20" fillId="2" borderId="10" xfId="0" applyFont="1" applyFill="1" applyBorder="1" applyAlignment="1">
      <alignment horizontal="right" vertical="center" wrapText="1"/>
    </xf>
    <xf numFmtId="0" fontId="20" fillId="2" borderId="18" xfId="0" applyFont="1" applyFill="1" applyBorder="1" applyAlignment="1">
      <alignment vertical="center"/>
    </xf>
    <xf numFmtId="0" fontId="20" fillId="2" borderId="11" xfId="0" applyFont="1" applyFill="1" applyBorder="1" applyAlignment="1">
      <alignment horizontal="right" vertical="center" wrapText="1"/>
    </xf>
    <xf numFmtId="0" fontId="20" fillId="2" borderId="19" xfId="0" applyFont="1" applyFill="1" applyBorder="1" applyAlignment="1">
      <alignment vertical="center"/>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20" fillId="2" borderId="0" xfId="0" applyFont="1" applyFill="1" applyAlignment="1">
      <alignment horizontal="center"/>
    </xf>
    <xf numFmtId="0" fontId="21" fillId="2" borderId="0" xfId="0" applyFont="1" applyFill="1" applyAlignment="1">
      <alignment vertical="center"/>
    </xf>
    <xf numFmtId="0" fontId="20" fillId="2" borderId="0" xfId="0" applyFont="1" applyFill="1"/>
    <xf numFmtId="0" fontId="0" fillId="5" borderId="0" xfId="0" applyFill="1"/>
    <xf numFmtId="0" fontId="11" fillId="5" borderId="0" xfId="0" applyFont="1" applyFill="1" applyAlignment="1">
      <alignment vertical="center" wrapText="1"/>
    </xf>
    <xf numFmtId="0" fontId="24" fillId="5" borderId="0" xfId="0" applyFont="1" applyFill="1"/>
    <xf numFmtId="0" fontId="25" fillId="5" borderId="0" xfId="0" applyFont="1" applyFill="1"/>
    <xf numFmtId="0" fontId="0" fillId="6" borderId="0" xfId="0" applyFill="1"/>
    <xf numFmtId="0" fontId="2" fillId="5" borderId="0" xfId="0" applyFont="1" applyFill="1"/>
    <xf numFmtId="0" fontId="7" fillId="5" borderId="0" xfId="0" applyFont="1" applyFill="1"/>
    <xf numFmtId="0" fontId="10" fillId="5" borderId="0" xfId="0" applyFont="1" applyFill="1"/>
    <xf numFmtId="0" fontId="19" fillId="5" borderId="15" xfId="0" applyFont="1" applyFill="1" applyBorder="1" applyAlignment="1">
      <alignment horizontal="center" vertical="center" wrapText="1"/>
    </xf>
    <xf numFmtId="0" fontId="19" fillId="5" borderId="15" xfId="0" applyFont="1" applyFill="1" applyBorder="1" applyAlignment="1">
      <alignment horizontal="center" vertical="center"/>
    </xf>
    <xf numFmtId="0" fontId="19" fillId="5" borderId="16"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5" xfId="0" applyFont="1" applyFill="1" applyBorder="1" applyAlignment="1">
      <alignment horizontal="center" vertical="center" wrapText="1"/>
    </xf>
    <xf numFmtId="0" fontId="20" fillId="6" borderId="4" xfId="0" applyFont="1" applyFill="1" applyBorder="1" applyAlignment="1">
      <alignment horizontal="center" vertical="center"/>
    </xf>
    <xf numFmtId="1" fontId="20" fillId="6" borderId="5" xfId="0" applyNumberFormat="1" applyFont="1" applyFill="1" applyBorder="1" applyAlignment="1">
      <alignment horizontal="center" vertical="center"/>
    </xf>
    <xf numFmtId="2" fontId="20" fillId="6" borderId="0" xfId="0" applyNumberFormat="1" applyFont="1" applyFill="1" applyAlignment="1">
      <alignment horizontal="center" vertical="center"/>
    </xf>
    <xf numFmtId="2" fontId="20" fillId="6" borderId="0" xfId="0" applyNumberFormat="1" applyFont="1" applyFill="1" applyAlignment="1">
      <alignment vertical="center"/>
    </xf>
    <xf numFmtId="2" fontId="20" fillId="6" borderId="5" xfId="0" applyNumberFormat="1" applyFont="1" applyFill="1" applyBorder="1" applyAlignment="1">
      <alignment vertical="center"/>
    </xf>
    <xf numFmtId="0" fontId="20" fillId="6" borderId="6" xfId="0" applyFont="1" applyFill="1" applyBorder="1" applyAlignment="1">
      <alignment horizontal="center" vertical="center"/>
    </xf>
    <xf numFmtId="1" fontId="20" fillId="6" borderId="8" xfId="0" applyNumberFormat="1" applyFont="1" applyFill="1" applyBorder="1" applyAlignment="1">
      <alignment horizontal="center" vertical="center"/>
    </xf>
    <xf numFmtId="2" fontId="20" fillId="6" borderId="7" xfId="0" applyNumberFormat="1" applyFont="1" applyFill="1" applyBorder="1" applyAlignment="1">
      <alignment horizontal="center" vertical="center"/>
    </xf>
    <xf numFmtId="2" fontId="20" fillId="6" borderId="7" xfId="0" applyNumberFormat="1" applyFont="1" applyFill="1" applyBorder="1" applyAlignment="1">
      <alignment vertical="center"/>
    </xf>
    <xf numFmtId="2" fontId="20" fillId="6" borderId="8" xfId="0" applyNumberFormat="1" applyFont="1" applyFill="1" applyBorder="1" applyAlignment="1">
      <alignment vertical="center"/>
    </xf>
    <xf numFmtId="0" fontId="26" fillId="2" borderId="0" xfId="0" applyFont="1" applyFill="1" applyAlignment="1">
      <alignment wrapText="1"/>
    </xf>
    <xf numFmtId="0" fontId="28" fillId="2" borderId="0" xfId="0" applyFont="1" applyFill="1" applyAlignment="1">
      <alignment vertical="center"/>
    </xf>
    <xf numFmtId="0" fontId="0" fillId="5" borderId="1" xfId="0" applyFill="1" applyBorder="1"/>
    <xf numFmtId="0" fontId="7" fillId="5" borderId="2" xfId="0" applyFont="1" applyFill="1" applyBorder="1" applyAlignment="1">
      <alignment horizontal="right"/>
    </xf>
    <xf numFmtId="0" fontId="0" fillId="5" borderId="2" xfId="0" applyFill="1" applyBorder="1"/>
    <xf numFmtId="0" fontId="0" fillId="6" borderId="4" xfId="0" applyFill="1" applyBorder="1"/>
    <xf numFmtId="0" fontId="1" fillId="6" borderId="0" xfId="0" applyFont="1" applyFill="1"/>
    <xf numFmtId="0" fontId="0" fillId="6" borderId="5" xfId="0" applyFill="1" applyBorder="1"/>
    <xf numFmtId="0" fontId="0" fillId="6" borderId="0" xfId="0" applyFill="1" applyAlignment="1">
      <alignment horizontal="right"/>
    </xf>
    <xf numFmtId="0" fontId="10" fillId="6" borderId="0" xfId="0" applyFont="1" applyFill="1"/>
    <xf numFmtId="0" fontId="0" fillId="6" borderId="6" xfId="0" applyFill="1" applyBorder="1"/>
    <xf numFmtId="0" fontId="0" fillId="6" borderId="7" xfId="0" applyFill="1" applyBorder="1"/>
    <xf numFmtId="165" fontId="0" fillId="6" borderId="5" xfId="0" applyNumberFormat="1" applyFill="1" applyBorder="1" applyAlignment="1">
      <alignment horizontal="center" vertical="center"/>
    </xf>
    <xf numFmtId="0" fontId="0" fillId="6" borderId="8" xfId="0" applyFill="1" applyBorder="1"/>
    <xf numFmtId="0" fontId="0" fillId="6" borderId="1" xfId="0" applyFill="1" applyBorder="1"/>
    <xf numFmtId="0" fontId="0" fillId="6" borderId="2" xfId="0" applyFill="1" applyBorder="1" applyAlignment="1">
      <alignment horizontal="center"/>
    </xf>
    <xf numFmtId="0" fontId="0" fillId="6" borderId="3" xfId="0" applyFill="1" applyBorder="1" applyAlignment="1">
      <alignment horizontal="center"/>
    </xf>
    <xf numFmtId="165" fontId="0" fillId="6" borderId="7" xfId="0" applyNumberFormat="1" applyFill="1" applyBorder="1" applyAlignment="1">
      <alignment horizontal="center"/>
    </xf>
    <xf numFmtId="2" fontId="0" fillId="6" borderId="7" xfId="0" applyNumberFormat="1" applyFill="1" applyBorder="1" applyAlignment="1">
      <alignment horizontal="center"/>
    </xf>
    <xf numFmtId="0" fontId="0" fillId="6" borderId="7" xfId="0" applyFill="1" applyBorder="1" applyAlignment="1">
      <alignment horizontal="center"/>
    </xf>
    <xf numFmtId="164" fontId="0" fillId="6" borderId="7" xfId="0" applyNumberFormat="1" applyFill="1" applyBorder="1" applyAlignment="1">
      <alignment horizontal="center"/>
    </xf>
    <xf numFmtId="2" fontId="0" fillId="6" borderId="8" xfId="0" applyNumberFormat="1" applyFill="1" applyBorder="1" applyAlignment="1">
      <alignment horizontal="center"/>
    </xf>
    <xf numFmtId="0" fontId="5" fillId="6" borderId="2" xfId="0" applyFont="1" applyFill="1" applyBorder="1"/>
    <xf numFmtId="0" fontId="0" fillId="6" borderId="2" xfId="0" applyFill="1" applyBorder="1"/>
    <xf numFmtId="0" fontId="1" fillId="6" borderId="2" xfId="0" applyFont="1" applyFill="1" applyBorder="1"/>
    <xf numFmtId="0" fontId="0" fillId="6" borderId="3" xfId="0" applyFill="1" applyBorder="1"/>
    <xf numFmtId="0" fontId="5" fillId="6" borderId="0" xfId="0" applyFont="1" applyFill="1"/>
    <xf numFmtId="0" fontId="0" fillId="6" borderId="0" xfId="0" applyFill="1" applyAlignment="1">
      <alignment horizontal="left" wrapText="1"/>
    </xf>
    <xf numFmtId="0" fontId="0" fillId="6" borderId="5" xfId="0" applyFill="1" applyBorder="1" applyAlignment="1">
      <alignment horizontal="left" wrapText="1"/>
    </xf>
    <xf numFmtId="0" fontId="0" fillId="6" borderId="0" xfId="0" applyFill="1" applyAlignment="1">
      <alignment vertical="center" wrapText="1"/>
    </xf>
    <xf numFmtId="0" fontId="0" fillId="6" borderId="0" xfId="0" applyFill="1" applyAlignment="1">
      <alignment wrapText="1"/>
    </xf>
    <xf numFmtId="0" fontId="9" fillId="6" borderId="0" xfId="2" applyFill="1" applyBorder="1"/>
    <xf numFmtId="0" fontId="23" fillId="5" borderId="0" xfId="0" applyFont="1" applyFill="1"/>
    <xf numFmtId="0" fontId="11" fillId="5" borderId="0" xfId="0" applyFont="1" applyFill="1" applyAlignment="1">
      <alignment horizontal="left" vertical="center" wrapText="1"/>
    </xf>
    <xf numFmtId="0" fontId="28" fillId="3" borderId="0" xfId="0" applyFont="1" applyFill="1" applyAlignment="1">
      <alignment vertical="center"/>
    </xf>
    <xf numFmtId="0" fontId="10" fillId="2" borderId="0" xfId="0" applyFont="1" applyFill="1"/>
    <xf numFmtId="0" fontId="1" fillId="6" borderId="6" xfId="0" applyFont="1" applyFill="1" applyBorder="1" applyAlignment="1">
      <alignment horizontal="right"/>
    </xf>
    <xf numFmtId="0" fontId="1" fillId="6" borderId="0" xfId="0" applyFont="1" applyFill="1" applyAlignment="1">
      <alignment horizontal="center"/>
    </xf>
    <xf numFmtId="0" fontId="1" fillId="6" borderId="2" xfId="0" applyFont="1" applyFill="1" applyBorder="1" applyAlignment="1">
      <alignment horizontal="center"/>
    </xf>
    <xf numFmtId="0" fontId="1" fillId="6" borderId="5" xfId="0" applyFont="1" applyFill="1" applyBorder="1" applyAlignment="1">
      <alignment horizontal="center"/>
    </xf>
    <xf numFmtId="0" fontId="0" fillId="6" borderId="0" xfId="0" applyFill="1" applyAlignment="1">
      <alignment horizontal="center"/>
    </xf>
    <xf numFmtId="0" fontId="29" fillId="2" borderId="0" xfId="0" applyFont="1" applyFill="1"/>
    <xf numFmtId="0" fontId="7" fillId="7" borderId="22" xfId="0" applyFont="1" applyFill="1" applyBorder="1" applyAlignment="1">
      <alignment horizontal="center" vertical="center"/>
    </xf>
    <xf numFmtId="0" fontId="19" fillId="5" borderId="23" xfId="0" applyFont="1" applyFill="1" applyBorder="1" applyAlignment="1">
      <alignment horizontal="center" vertical="center" wrapText="1"/>
    </xf>
    <xf numFmtId="2" fontId="20" fillId="6" borderId="4" xfId="0" applyNumberFormat="1" applyFont="1" applyFill="1" applyBorder="1" applyAlignment="1">
      <alignment horizontal="center" vertical="center"/>
    </xf>
    <xf numFmtId="2" fontId="20" fillId="6" borderId="6" xfId="0" applyNumberFormat="1" applyFont="1" applyFill="1" applyBorder="1" applyAlignment="1">
      <alignment horizontal="center" vertical="center"/>
    </xf>
    <xf numFmtId="0" fontId="0" fillId="6" borderId="4" xfId="0" applyFill="1" applyBorder="1" applyAlignment="1">
      <alignment horizontal="right" vertical="center"/>
    </xf>
    <xf numFmtId="0" fontId="0" fillId="6" borderId="0" xfId="0" applyFill="1" applyAlignment="1">
      <alignment horizontal="center" vertical="center"/>
    </xf>
    <xf numFmtId="0" fontId="27" fillId="3" borderId="0" xfId="0" applyFont="1" applyFill="1" applyAlignment="1">
      <alignment horizontal="left" wrapText="1"/>
    </xf>
    <xf numFmtId="0" fontId="23" fillId="6" borderId="16" xfId="0" applyFont="1" applyFill="1" applyBorder="1" applyAlignment="1">
      <alignment vertical="center"/>
    </xf>
    <xf numFmtId="49" fontId="4" fillId="2" borderId="0" xfId="0" applyNumberFormat="1" applyFont="1" applyFill="1" applyAlignment="1">
      <alignment vertical="center" wrapText="1"/>
    </xf>
    <xf numFmtId="0" fontId="0" fillId="5" borderId="3" xfId="0" applyFill="1" applyBorder="1"/>
    <xf numFmtId="0" fontId="0" fillId="2" borderId="7" xfId="0" applyFill="1" applyBorder="1"/>
    <xf numFmtId="0" fontId="0" fillId="2" borderId="7" xfId="0" applyFill="1" applyBorder="1" applyAlignment="1">
      <alignment horizontal="right" wrapText="1"/>
    </xf>
    <xf numFmtId="1" fontId="0" fillId="2" borderId="7" xfId="0" applyNumberFormat="1" applyFill="1" applyBorder="1" applyAlignment="1">
      <alignment vertical="center"/>
    </xf>
    <xf numFmtId="164" fontId="0" fillId="2" borderId="7" xfId="0" applyNumberFormat="1" applyFill="1" applyBorder="1"/>
    <xf numFmtId="0" fontId="6" fillId="2" borderId="7" xfId="0" applyFont="1" applyFill="1" applyBorder="1"/>
    <xf numFmtId="165" fontId="0" fillId="2" borderId="9" xfId="0" applyNumberFormat="1" applyFill="1" applyBorder="1" applyAlignment="1">
      <alignment vertical="center"/>
    </xf>
    <xf numFmtId="0" fontId="19" fillId="2" borderId="0" xfId="0" applyFont="1" applyFill="1" applyAlignment="1">
      <alignment horizontal="center" vertical="center" wrapText="1"/>
    </xf>
    <xf numFmtId="0" fontId="20" fillId="2" borderId="0" xfId="0" applyFont="1" applyFill="1" applyAlignment="1">
      <alignment horizontal="center" vertical="center"/>
    </xf>
    <xf numFmtId="0" fontId="19" fillId="2" borderId="0" xfId="0" applyFont="1" applyFill="1" applyAlignment="1">
      <alignment vertical="center"/>
    </xf>
    <xf numFmtId="0" fontId="19" fillId="2" borderId="0" xfId="0" applyFont="1" applyFill="1" applyAlignment="1">
      <alignment horizontal="center" vertical="center"/>
    </xf>
    <xf numFmtId="1" fontId="20" fillId="2" borderId="0" xfId="0" applyNumberFormat="1" applyFont="1" applyFill="1" applyAlignment="1">
      <alignment horizontal="center" vertical="center"/>
    </xf>
    <xf numFmtId="0" fontId="0" fillId="6" borderId="4" xfId="0" applyFill="1" applyBorder="1" applyAlignment="1">
      <alignment horizontal="right" vertical="center" wrapText="1"/>
    </xf>
    <xf numFmtId="0" fontId="17" fillId="2" borderId="0" xfId="0" applyFont="1" applyFill="1" applyAlignment="1">
      <alignment vertical="center" wrapText="1"/>
    </xf>
    <xf numFmtId="165" fontId="17" fillId="2" borderId="0" xfId="0" applyNumberFormat="1" applyFont="1" applyFill="1" applyAlignment="1">
      <alignment vertical="center"/>
    </xf>
    <xf numFmtId="0" fontId="29" fillId="2" borderId="0" xfId="0" applyFont="1" applyFill="1" applyAlignment="1">
      <alignment horizontal="right" wrapText="1"/>
    </xf>
    <xf numFmtId="1" fontId="0" fillId="2" borderId="0" xfId="0" applyNumberFormat="1" applyFill="1" applyAlignment="1">
      <alignment horizontal="center"/>
    </xf>
    <xf numFmtId="164" fontId="29" fillId="2" borderId="0" xfId="0" applyNumberFormat="1" applyFont="1" applyFill="1" applyAlignment="1">
      <alignment horizontal="center" vertical="center"/>
    </xf>
    <xf numFmtId="1" fontId="0" fillId="6" borderId="5" xfId="0" applyNumberFormat="1" applyFill="1" applyBorder="1" applyAlignment="1">
      <alignment horizontal="center" vertical="center"/>
    </xf>
    <xf numFmtId="0" fontId="1" fillId="6" borderId="4" xfId="0" applyFont="1" applyFill="1" applyBorder="1" applyAlignment="1">
      <alignment vertical="center"/>
    </xf>
    <xf numFmtId="0" fontId="0" fillId="6" borderId="0" xfId="0" applyFill="1" applyAlignment="1">
      <alignment vertical="center"/>
    </xf>
    <xf numFmtId="0" fontId="0" fillId="6" borderId="5" xfId="0" applyFill="1" applyBorder="1" applyAlignment="1">
      <alignment vertical="center"/>
    </xf>
    <xf numFmtId="0" fontId="10" fillId="6" borderId="0" xfId="0" applyFont="1" applyFill="1" applyAlignment="1">
      <alignment vertical="center"/>
    </xf>
    <xf numFmtId="165" fontId="29" fillId="6" borderId="7" xfId="0" applyNumberFormat="1" applyFont="1" applyFill="1" applyBorder="1" applyAlignment="1">
      <alignment horizontal="center" vertical="center"/>
    </xf>
    <xf numFmtId="0" fontId="30" fillId="6" borderId="7" xfId="0" applyFont="1" applyFill="1" applyBorder="1" applyAlignment="1">
      <alignment vertical="center"/>
    </xf>
    <xf numFmtId="0" fontId="0" fillId="6" borderId="7" xfId="0" applyFill="1" applyBorder="1" applyAlignment="1">
      <alignment vertical="center"/>
    </xf>
    <xf numFmtId="0" fontId="0" fillId="6" borderId="8" xfId="0" applyFill="1" applyBorder="1" applyAlignment="1">
      <alignment vertical="center"/>
    </xf>
    <xf numFmtId="165" fontId="0" fillId="6" borderId="0" xfId="0" applyNumberFormat="1" applyFill="1" applyAlignment="1">
      <alignment horizontal="center" vertical="center"/>
    </xf>
    <xf numFmtId="0" fontId="0" fillId="6" borderId="8" xfId="0" applyFill="1" applyBorder="1" applyAlignment="1">
      <alignment horizontal="right"/>
    </xf>
    <xf numFmtId="0" fontId="10" fillId="6" borderId="6" xfId="0" applyFont="1" applyFill="1" applyBorder="1" applyAlignment="1">
      <alignment horizontal="left"/>
    </xf>
    <xf numFmtId="0" fontId="0" fillId="6" borderId="6" xfId="0" applyFill="1" applyBorder="1" applyAlignment="1">
      <alignment vertical="center"/>
    </xf>
    <xf numFmtId="0" fontId="10" fillId="6" borderId="7" xfId="0" applyFont="1" applyFill="1" applyBorder="1" applyAlignment="1">
      <alignment vertical="center" wrapText="1"/>
    </xf>
    <xf numFmtId="0" fontId="10" fillId="6" borderId="8" xfId="0" applyFont="1" applyFill="1" applyBorder="1" applyAlignment="1">
      <alignment vertical="center" wrapText="1"/>
    </xf>
    <xf numFmtId="0" fontId="24" fillId="2" borderId="0" xfId="0" applyFont="1" applyFill="1"/>
    <xf numFmtId="0" fontId="5" fillId="5" borderId="0" xfId="0" applyFont="1" applyFill="1" applyAlignment="1">
      <alignment horizontal="center" vertical="center" wrapText="1"/>
    </xf>
    <xf numFmtId="0" fontId="36" fillId="2" borderId="0" xfId="0" applyFont="1" applyFill="1"/>
    <xf numFmtId="0" fontId="12" fillId="2" borderId="0" xfId="0" applyFont="1" applyFill="1"/>
    <xf numFmtId="0" fontId="33" fillId="2" borderId="0" xfId="0" applyFont="1" applyFill="1"/>
    <xf numFmtId="0" fontId="12" fillId="6" borderId="0" xfId="0" applyFont="1" applyFill="1"/>
    <xf numFmtId="0" fontId="32" fillId="6" borderId="0" xfId="0" applyFont="1" applyFill="1"/>
    <xf numFmtId="0" fontId="32" fillId="2" borderId="0" xfId="0" applyFont="1" applyFill="1"/>
    <xf numFmtId="0" fontId="4" fillId="6" borderId="0" xfId="0" applyFont="1" applyFill="1" applyAlignment="1">
      <alignment wrapText="1"/>
    </xf>
    <xf numFmtId="49" fontId="4" fillId="2" borderId="0" xfId="0" applyNumberFormat="1" applyFont="1" applyFill="1" applyAlignment="1">
      <alignment horizontal="left" vertical="center" wrapText="1"/>
    </xf>
    <xf numFmtId="0" fontId="22" fillId="2" borderId="0" xfId="0" applyFont="1" applyFill="1" applyAlignment="1">
      <alignment horizontal="left"/>
    </xf>
    <xf numFmtId="0" fontId="23" fillId="5" borderId="0" xfId="0" applyFont="1" applyFill="1" applyAlignment="1">
      <alignment horizontal="center" vertical="center"/>
    </xf>
    <xf numFmtId="14" fontId="10" fillId="5" borderId="0" xfId="0" applyNumberFormat="1" applyFont="1" applyFill="1" applyAlignment="1">
      <alignment horizontal="center" vertical="center"/>
    </xf>
    <xf numFmtId="0" fontId="19" fillId="5"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20" fillId="2" borderId="0" xfId="0" applyFont="1" applyFill="1" applyAlignment="1">
      <alignment horizontal="left" wrapText="1"/>
    </xf>
    <xf numFmtId="0" fontId="38" fillId="5" borderId="0" xfId="0" applyFont="1" applyFill="1" applyAlignment="1">
      <alignment horizontal="center" vertical="center" wrapText="1"/>
    </xf>
    <xf numFmtId="0" fontId="25" fillId="5" borderId="0" xfId="0" applyFont="1" applyFill="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 xfId="0" applyFont="1" applyFill="1" applyBorder="1" applyAlignment="1">
      <alignment horizontal="center"/>
    </xf>
    <xf numFmtId="0" fontId="7" fillId="5" borderId="3" xfId="0" applyFont="1" applyFill="1" applyBorder="1" applyAlignment="1">
      <alignment horizontal="center"/>
    </xf>
    <xf numFmtId="0" fontId="7" fillId="5" borderId="2" xfId="0" applyFont="1" applyFill="1" applyBorder="1" applyAlignment="1">
      <alignment horizontal="center"/>
    </xf>
    <xf numFmtId="0" fontId="5" fillId="5" borderId="1" xfId="0" applyFont="1" applyFill="1" applyBorder="1" applyAlignment="1">
      <alignment horizontal="left" vertical="center"/>
    </xf>
    <xf numFmtId="0" fontId="5" fillId="5" borderId="4" xfId="0" applyFont="1" applyFill="1" applyBorder="1" applyAlignment="1">
      <alignment horizontal="left" vertical="center"/>
    </xf>
    <xf numFmtId="0" fontId="5" fillId="5" borderId="6" xfId="0" applyFont="1" applyFill="1" applyBorder="1" applyAlignment="1">
      <alignment horizontal="left" vertical="center"/>
    </xf>
    <xf numFmtId="0" fontId="17" fillId="6" borderId="1"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5" xfId="0" applyFont="1" applyFill="1" applyBorder="1" applyAlignment="1">
      <alignment horizontal="left" vertical="center" wrapText="1"/>
    </xf>
    <xf numFmtId="165" fontId="17" fillId="6" borderId="4" xfId="0" applyNumberFormat="1" applyFont="1" applyFill="1" applyBorder="1" applyAlignment="1">
      <alignment horizontal="left" vertical="center"/>
    </xf>
    <xf numFmtId="165" fontId="17" fillId="6" borderId="0" xfId="0" applyNumberFormat="1" applyFont="1" applyFill="1" applyAlignment="1">
      <alignment horizontal="left" vertical="center"/>
    </xf>
    <xf numFmtId="165" fontId="17" fillId="6" borderId="5" xfId="0" applyNumberFormat="1" applyFont="1" applyFill="1" applyBorder="1" applyAlignment="1">
      <alignment horizontal="left" vertical="center"/>
    </xf>
    <xf numFmtId="165" fontId="17" fillId="6" borderId="6" xfId="0" applyNumberFormat="1" applyFont="1" applyFill="1" applyBorder="1" applyAlignment="1">
      <alignment horizontal="left" vertical="center"/>
    </xf>
    <xf numFmtId="165" fontId="17" fillId="6" borderId="7" xfId="0" applyNumberFormat="1" applyFont="1" applyFill="1" applyBorder="1" applyAlignment="1">
      <alignment horizontal="left" vertical="center"/>
    </xf>
    <xf numFmtId="165" fontId="17" fillId="6" borderId="8" xfId="0" applyNumberFormat="1" applyFont="1" applyFill="1" applyBorder="1" applyAlignment="1">
      <alignment horizontal="left" vertical="center"/>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32" fillId="0" borderId="0" xfId="0" applyFont="1" applyAlignment="1">
      <alignment horizontal="left" vertical="center" wrapText="1"/>
    </xf>
    <xf numFmtId="0" fontId="27" fillId="2" borderId="0" xfId="0" applyFont="1" applyFill="1" applyAlignment="1">
      <alignment horizontal="left" wrapText="1"/>
    </xf>
    <xf numFmtId="0" fontId="19" fillId="5" borderId="20"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9" fillId="5" borderId="3" xfId="0" applyFont="1" applyFill="1" applyBorder="1" applyAlignment="1">
      <alignment horizontal="center" vertical="center"/>
    </xf>
    <xf numFmtId="0" fontId="19" fillId="5" borderId="17" xfId="0" applyFont="1" applyFill="1" applyBorder="1" applyAlignment="1">
      <alignment horizontal="center" vertical="center"/>
    </xf>
    <xf numFmtId="0" fontId="4" fillId="6" borderId="0" xfId="0" applyFont="1" applyFill="1" applyAlignment="1">
      <alignment horizontal="left" vertical="center" wrapText="1"/>
    </xf>
    <xf numFmtId="0" fontId="4" fillId="6" borderId="0" xfId="0" applyFont="1" applyFill="1" applyAlignment="1">
      <alignment horizontal="left" wrapText="1"/>
    </xf>
    <xf numFmtId="0" fontId="4" fillId="6" borderId="5" xfId="0" applyFont="1" applyFill="1" applyBorder="1" applyAlignment="1">
      <alignment horizontal="left" wrapText="1"/>
    </xf>
    <xf numFmtId="0" fontId="29" fillId="6" borderId="4" xfId="0" applyFont="1" applyFill="1" applyBorder="1" applyAlignment="1">
      <alignment horizontal="right" vertical="center"/>
    </xf>
    <xf numFmtId="0" fontId="29" fillId="6" borderId="0" xfId="0" applyFont="1" applyFill="1" applyAlignment="1">
      <alignment horizontal="right" vertical="center"/>
    </xf>
    <xf numFmtId="0" fontId="5" fillId="5" borderId="12"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10" fillId="6" borderId="0" xfId="0" applyFont="1" applyFill="1" applyAlignment="1">
      <alignment horizontal="left" vertical="center"/>
    </xf>
    <xf numFmtId="0" fontId="10" fillId="6" borderId="5" xfId="0" applyFont="1" applyFill="1" applyBorder="1" applyAlignment="1">
      <alignment horizontal="left" vertical="center"/>
    </xf>
    <xf numFmtId="0" fontId="0" fillId="6" borderId="4" xfId="0" applyFill="1" applyBorder="1" applyAlignment="1">
      <alignment horizontal="right" vertical="center"/>
    </xf>
    <xf numFmtId="0" fontId="0" fillId="6" borderId="0" xfId="0" applyFill="1" applyAlignment="1">
      <alignment horizontal="center" vertical="center"/>
    </xf>
    <xf numFmtId="0" fontId="10" fillId="6" borderId="0" xfId="0" applyFont="1" applyFill="1" applyAlignment="1">
      <alignment horizontal="left" vertical="center" wrapText="1"/>
    </xf>
    <xf numFmtId="0" fontId="10" fillId="6" borderId="5" xfId="0" applyFont="1" applyFill="1" applyBorder="1" applyAlignment="1">
      <alignment horizontal="left" vertical="center" wrapText="1"/>
    </xf>
    <xf numFmtId="0" fontId="21" fillId="2" borderId="7" xfId="0" applyFont="1" applyFill="1" applyBorder="1" applyAlignment="1">
      <alignment horizontal="center" vertical="center"/>
    </xf>
    <xf numFmtId="0" fontId="19" fillId="5"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3" fillId="6" borderId="23" xfId="0" applyFont="1" applyFill="1" applyBorder="1" applyAlignment="1">
      <alignment horizontal="right" vertical="center"/>
    </xf>
    <xf numFmtId="0" fontId="23" fillId="6" borderId="15" xfId="0" applyFont="1" applyFill="1" applyBorder="1" applyAlignment="1">
      <alignment horizontal="right" vertical="center"/>
    </xf>
    <xf numFmtId="0" fontId="0" fillId="6" borderId="4" xfId="0" applyFill="1" applyBorder="1" applyAlignment="1">
      <alignment horizontal="right" vertical="center" wrapText="1"/>
    </xf>
    <xf numFmtId="0" fontId="0" fillId="6" borderId="0" xfId="0" applyFill="1" applyAlignment="1">
      <alignment horizontal="right" vertical="center" wrapText="1"/>
    </xf>
    <xf numFmtId="0" fontId="4" fillId="6" borderId="0" xfId="0" applyFont="1" applyFill="1" applyAlignment="1">
      <alignment horizontal="center" vertical="center"/>
    </xf>
    <xf numFmtId="0" fontId="31" fillId="2" borderId="0" xfId="0" applyFont="1" applyFill="1" applyAlignment="1">
      <alignment horizontal="left"/>
    </xf>
  </cellXfs>
  <cellStyles count="3">
    <cellStyle name="Hyperlink" xfId="2" builtinId="8"/>
    <cellStyle name="Normal" xfId="0" builtinId="0"/>
    <cellStyle name="Per cent" xfId="1" builtinId="5"/>
  </cellStyles>
  <dxfs count="6">
    <dxf>
      <font>
        <color theme="0"/>
      </font>
      <fill>
        <patternFill>
          <bgColor theme="0"/>
        </patternFill>
      </fill>
      <border>
        <left/>
        <right/>
        <top/>
        <bottom/>
        <vertical/>
        <horizontal/>
      </border>
    </dxf>
    <dxf>
      <font>
        <strike val="0"/>
        <color theme="0"/>
      </font>
      <fill>
        <patternFill>
          <bgColor theme="0"/>
        </patternFill>
      </fill>
      <border>
        <left/>
        <right/>
        <top/>
        <bottom/>
      </border>
    </dxf>
    <dxf>
      <font>
        <color auto="1"/>
      </font>
    </dxf>
    <dxf>
      <font>
        <color auto="1"/>
      </font>
    </dxf>
    <dxf>
      <font>
        <color auto="1"/>
      </font>
    </dxf>
    <dxf>
      <numFmt numFmtId="0" formatCode="General"/>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388056</xdr:colOff>
      <xdr:row>26</xdr:row>
      <xdr:rowOff>105835</xdr:rowOff>
    </xdr:from>
    <xdr:to>
      <xdr:col>9</xdr:col>
      <xdr:colOff>167852</xdr:colOff>
      <xdr:row>32</xdr:row>
      <xdr:rowOff>72518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056" y="4007557"/>
          <a:ext cx="4274185" cy="1094105"/>
        </a:xfrm>
        <a:prstGeom prst="rect">
          <a:avLst/>
        </a:prstGeom>
        <a:noFill/>
        <a:ln>
          <a:noFill/>
        </a:ln>
      </xdr:spPr>
    </xdr:pic>
    <xdr:clientData/>
  </xdr:twoCellAnchor>
  <xdr:twoCellAnchor editAs="oneCell">
    <xdr:from>
      <xdr:col>9</xdr:col>
      <xdr:colOff>416278</xdr:colOff>
      <xdr:row>28</xdr:row>
      <xdr:rowOff>127000</xdr:rowOff>
    </xdr:from>
    <xdr:to>
      <xdr:col>12</xdr:col>
      <xdr:colOff>324626</xdr:colOff>
      <xdr:row>30</xdr:row>
      <xdr:rowOff>154445</xdr:rowOff>
    </xdr:to>
    <xdr:pic>
      <xdr:nvPicPr>
        <xdr:cNvPr id="3" name="Picture 2" descr="https://www.internal.eawag.ch/fileadmin_intranet/intranet/kommunikation/mittel/vorlagen/ealogo05-pos.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07667" y="4395611"/>
          <a:ext cx="1834515" cy="3943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209458</xdr:colOff>
      <xdr:row>0</xdr:row>
      <xdr:rowOff>6350</xdr:rowOff>
    </xdr:from>
    <xdr:to>
      <xdr:col>8</xdr:col>
      <xdr:colOff>1762549</xdr:colOff>
      <xdr:row>8</xdr:row>
      <xdr:rowOff>69849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03808" y="6350"/>
          <a:ext cx="5915541" cy="2355849"/>
        </a:xfrm>
        <a:prstGeom prst="rect">
          <a:avLst/>
        </a:prstGeom>
      </xdr:spPr>
    </xdr:pic>
    <xdr:clientData/>
  </xdr:twoCellAnchor>
  <xdr:twoCellAnchor editAs="oneCell">
    <xdr:from>
      <xdr:col>5</xdr:col>
      <xdr:colOff>677699</xdr:colOff>
      <xdr:row>10</xdr:row>
      <xdr:rowOff>150089</xdr:rowOff>
    </xdr:from>
    <xdr:to>
      <xdr:col>8</xdr:col>
      <xdr:colOff>519131</xdr:colOff>
      <xdr:row>28</xdr:row>
      <xdr:rowOff>20368</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7899" y="3585439"/>
          <a:ext cx="3118032" cy="4391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658090</xdr:colOff>
      <xdr:row>9</xdr:row>
      <xdr:rowOff>127000</xdr:rowOff>
    </xdr:from>
    <xdr:ext cx="2685800" cy="26456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7885545" y="3325091"/>
          <a:ext cx="26858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Summary of feedstocks and key properties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globalmethane.org/resources/details.aspx?resourceid=5170"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nergypedia.info/wiki/Biogas_Stov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P35"/>
  <sheetViews>
    <sheetView tabSelected="1" zoomScaleNormal="100" workbookViewId="0">
      <selection activeCell="P4" sqref="P4"/>
    </sheetView>
  </sheetViews>
  <sheetFormatPr defaultColWidth="0" defaultRowHeight="15" zeroHeight="1"/>
  <cols>
    <col min="1" max="1" width="9.140625" style="1" customWidth="1"/>
    <col min="2" max="2" width="10.85546875" style="1" customWidth="1"/>
    <col min="3" max="14" width="9.140625" style="1" customWidth="1"/>
    <col min="15" max="15" width="8.42578125" style="1" customWidth="1"/>
    <col min="16" max="16" width="11.7109375" style="1" customWidth="1"/>
    <col min="17" max="16384" width="8.7109375" style="1" hidden="1"/>
  </cols>
  <sheetData>
    <row r="1" spans="1:16" s="67" customFormat="1">
      <c r="P1" s="67" t="s">
        <v>0</v>
      </c>
    </row>
    <row r="2" spans="1:16" s="67" customFormat="1" ht="15.6" customHeight="1">
      <c r="A2" s="186" t="s">
        <v>1</v>
      </c>
      <c r="B2" s="186"/>
      <c r="C2" s="186"/>
      <c r="D2" s="186"/>
      <c r="E2" s="186"/>
      <c r="F2" s="186"/>
      <c r="G2" s="186"/>
      <c r="H2" s="186"/>
      <c r="I2" s="186"/>
      <c r="J2" s="186"/>
      <c r="K2" s="186"/>
      <c r="L2" s="186"/>
      <c r="M2" s="186"/>
      <c r="N2" s="186"/>
      <c r="O2" s="186"/>
      <c r="P2" s="187">
        <v>45370</v>
      </c>
    </row>
    <row r="3" spans="1:16" s="67" customFormat="1" ht="14.45" customHeight="1">
      <c r="A3" s="186"/>
      <c r="B3" s="186"/>
      <c r="C3" s="186"/>
      <c r="D3" s="186"/>
      <c r="E3" s="186"/>
      <c r="F3" s="186"/>
      <c r="G3" s="186"/>
      <c r="H3" s="186"/>
      <c r="I3" s="186"/>
      <c r="J3" s="186"/>
      <c r="K3" s="186"/>
      <c r="L3" s="186"/>
      <c r="M3" s="186"/>
      <c r="N3" s="186"/>
      <c r="O3" s="186"/>
      <c r="P3" s="187"/>
    </row>
    <row r="4" spans="1:16" s="67" customFormat="1" ht="15.6" customHeight="1">
      <c r="B4" s="188" t="s">
        <v>2</v>
      </c>
      <c r="C4" s="189"/>
      <c r="D4" s="189"/>
      <c r="E4" s="189"/>
      <c r="F4" s="189"/>
      <c r="G4" s="189"/>
      <c r="H4" s="189"/>
      <c r="I4" s="189"/>
      <c r="J4" s="189"/>
      <c r="K4" s="189"/>
      <c r="L4" s="189"/>
      <c r="M4" s="189"/>
      <c r="N4" s="68"/>
    </row>
    <row r="5" spans="1:16" s="67" customFormat="1" ht="15" customHeight="1">
      <c r="A5" s="176"/>
      <c r="B5" s="189"/>
      <c r="C5" s="189"/>
      <c r="D5" s="189"/>
      <c r="E5" s="189"/>
      <c r="F5" s="189"/>
      <c r="G5" s="189"/>
      <c r="H5" s="189"/>
      <c r="I5" s="189"/>
      <c r="J5" s="189"/>
      <c r="K5" s="189"/>
      <c r="L5" s="189"/>
      <c r="M5" s="189"/>
      <c r="N5" s="68"/>
    </row>
    <row r="6" spans="1:16" s="67" customFormat="1" ht="15.6" customHeight="1">
      <c r="B6" s="124"/>
      <c r="C6" s="124"/>
      <c r="D6" s="124"/>
      <c r="E6" s="124"/>
      <c r="F6" s="124"/>
      <c r="G6" s="124"/>
      <c r="H6" s="124"/>
      <c r="I6" s="124"/>
      <c r="J6" s="124"/>
      <c r="K6" s="124"/>
      <c r="L6" s="124"/>
      <c r="M6" s="124"/>
      <c r="N6" s="124"/>
      <c r="O6" s="124"/>
    </row>
    <row r="7" spans="1:16" ht="15.6" customHeight="1">
      <c r="B7" s="63"/>
      <c r="C7" s="63"/>
      <c r="D7" s="63"/>
      <c r="E7" s="63"/>
      <c r="F7" s="63"/>
      <c r="G7" s="63"/>
      <c r="H7" s="63"/>
      <c r="I7" s="63"/>
      <c r="J7" s="63"/>
      <c r="K7" s="63"/>
      <c r="L7" s="63"/>
      <c r="M7" s="63"/>
      <c r="N7" s="63"/>
      <c r="O7" s="63"/>
    </row>
    <row r="8" spans="1:16" ht="15.6" customHeight="1">
      <c r="B8" s="190" t="s">
        <v>3</v>
      </c>
      <c r="C8" s="191"/>
      <c r="D8" s="191"/>
      <c r="E8" s="191"/>
      <c r="F8" s="191"/>
      <c r="G8" s="191"/>
      <c r="H8" s="191"/>
      <c r="I8" s="191"/>
      <c r="J8" s="191"/>
      <c r="K8" s="191"/>
      <c r="L8" s="191"/>
      <c r="M8" s="191"/>
      <c r="N8" s="191"/>
      <c r="O8" s="63"/>
    </row>
    <row r="9" spans="1:16" ht="15.6" customHeight="1">
      <c r="B9" s="191"/>
      <c r="C9" s="191"/>
      <c r="D9" s="191"/>
      <c r="E9" s="191"/>
      <c r="F9" s="191"/>
      <c r="G9" s="191"/>
      <c r="H9" s="191"/>
      <c r="I9" s="191"/>
      <c r="J9" s="191"/>
      <c r="K9" s="191"/>
      <c r="L9" s="191"/>
      <c r="M9" s="191"/>
      <c r="N9" s="191"/>
      <c r="O9" s="63"/>
    </row>
    <row r="10" spans="1:16" ht="15.75">
      <c r="B10" s="63"/>
      <c r="C10" s="63"/>
      <c r="D10" s="63"/>
      <c r="E10" s="63"/>
      <c r="F10" s="63"/>
      <c r="G10" s="63"/>
      <c r="H10" s="63"/>
      <c r="I10" s="63"/>
      <c r="J10" s="63"/>
      <c r="K10" s="63"/>
      <c r="L10" s="63"/>
      <c r="M10" s="63"/>
      <c r="N10" s="63"/>
      <c r="O10" s="63"/>
    </row>
    <row r="11" spans="1:16">
      <c r="B11" s="185" t="s">
        <v>4</v>
      </c>
      <c r="C11" s="185"/>
      <c r="D11" s="185"/>
      <c r="E11" s="185"/>
      <c r="F11" s="185"/>
    </row>
    <row r="12" spans="1:16">
      <c r="B12" s="11" t="s">
        <v>5</v>
      </c>
    </row>
    <row r="13" spans="1:16">
      <c r="B13" s="178" t="s">
        <v>6</v>
      </c>
    </row>
    <row r="14" spans="1:16">
      <c r="B14" s="41" t="s">
        <v>7</v>
      </c>
    </row>
    <row r="15" spans="1:16"/>
    <row r="16" spans="1:16">
      <c r="B16" s="126" t="s">
        <v>8</v>
      </c>
      <c r="C16" s="1" t="s">
        <v>9</v>
      </c>
    </row>
    <row r="17" spans="1:16"/>
    <row r="18" spans="1:16">
      <c r="B18" s="126" t="s">
        <v>10</v>
      </c>
      <c r="E18" s="1" t="s">
        <v>11</v>
      </c>
    </row>
    <row r="19" spans="1:16">
      <c r="B19" s="177" t="s">
        <v>12</v>
      </c>
      <c r="C19" s="11"/>
      <c r="D19" s="11"/>
      <c r="E19" s="11" t="s">
        <v>13</v>
      </c>
      <c r="F19" s="11"/>
    </row>
    <row r="20" spans="1:16"/>
    <row r="21" spans="1:16" ht="17.25" customHeight="1">
      <c r="A21" s="141"/>
      <c r="B21" s="184" t="s">
        <v>14</v>
      </c>
      <c r="C21" s="184"/>
      <c r="D21" s="184"/>
      <c r="E21" s="184"/>
      <c r="F21" s="184"/>
      <c r="G21" s="184"/>
      <c r="H21" s="184"/>
      <c r="I21" s="184"/>
      <c r="J21" s="184"/>
      <c r="K21" s="184"/>
      <c r="L21" s="184"/>
      <c r="M21" s="184"/>
      <c r="N21" s="184"/>
      <c r="O21" s="184"/>
      <c r="P21" s="141"/>
    </row>
    <row r="22" spans="1:16" ht="17.25" customHeight="1">
      <c r="A22" s="141"/>
      <c r="B22" s="184"/>
      <c r="C22" s="184"/>
      <c r="D22" s="184"/>
      <c r="E22" s="184"/>
      <c r="F22" s="184"/>
      <c r="G22" s="184"/>
      <c r="H22" s="184"/>
      <c r="I22" s="184"/>
      <c r="J22" s="184"/>
      <c r="K22" s="184"/>
      <c r="L22" s="184"/>
      <c r="M22" s="184"/>
      <c r="N22" s="184"/>
      <c r="O22" s="184"/>
      <c r="P22" s="141"/>
    </row>
    <row r="23" spans="1:16" ht="17.25" customHeight="1">
      <c r="A23" s="141"/>
      <c r="B23" s="184"/>
      <c r="C23" s="184"/>
      <c r="D23" s="184"/>
      <c r="E23" s="184"/>
      <c r="F23" s="184"/>
      <c r="G23" s="184"/>
      <c r="H23" s="184"/>
      <c r="I23" s="184"/>
      <c r="J23" s="184"/>
      <c r="K23" s="184"/>
      <c r="L23" s="184"/>
      <c r="M23" s="184"/>
      <c r="N23" s="184"/>
      <c r="O23" s="184"/>
      <c r="P23" s="141"/>
    </row>
    <row r="24" spans="1:16" ht="17.25" customHeight="1">
      <c r="A24" s="141"/>
      <c r="B24" s="184"/>
      <c r="C24" s="184"/>
      <c r="D24" s="184"/>
      <c r="E24" s="184"/>
      <c r="F24" s="184"/>
      <c r="G24" s="184"/>
      <c r="H24" s="184"/>
      <c r="I24" s="184"/>
      <c r="J24" s="184"/>
      <c r="K24" s="184"/>
      <c r="L24" s="184"/>
      <c r="M24" s="184"/>
      <c r="N24" s="184"/>
      <c r="O24" s="184"/>
      <c r="P24" s="141"/>
    </row>
    <row r="25" spans="1:16" ht="17.25" customHeight="1">
      <c r="A25" s="141"/>
      <c r="B25" s="184"/>
      <c r="C25" s="184"/>
      <c r="D25" s="184"/>
      <c r="E25" s="184"/>
      <c r="F25" s="184"/>
      <c r="G25" s="184"/>
      <c r="H25" s="184"/>
      <c r="I25" s="184"/>
      <c r="J25" s="184"/>
      <c r="K25" s="184"/>
      <c r="L25" s="184"/>
      <c r="M25" s="184"/>
      <c r="N25" s="184"/>
      <c r="O25" s="184"/>
      <c r="P25" s="141"/>
    </row>
    <row r="26" spans="1:16" ht="17.25" customHeight="1">
      <c r="A26" s="141"/>
      <c r="B26" s="184"/>
      <c r="C26" s="184"/>
      <c r="D26" s="184"/>
      <c r="E26" s="184"/>
      <c r="F26" s="184"/>
      <c r="G26" s="184"/>
      <c r="H26" s="184"/>
      <c r="I26" s="184"/>
      <c r="J26" s="184"/>
      <c r="K26" s="184"/>
      <c r="L26" s="184"/>
      <c r="M26" s="184"/>
      <c r="N26" s="184"/>
      <c r="O26" s="184"/>
      <c r="P26" s="141"/>
    </row>
    <row r="27" spans="1:16" ht="17.25" customHeight="1">
      <c r="A27" s="141"/>
      <c r="B27" s="184"/>
      <c r="C27" s="184"/>
      <c r="D27" s="184"/>
      <c r="E27" s="184"/>
      <c r="F27" s="184"/>
      <c r="G27" s="184"/>
      <c r="H27" s="184"/>
      <c r="I27" s="184"/>
      <c r="J27" s="184"/>
      <c r="K27" s="184"/>
      <c r="L27" s="184"/>
      <c r="M27" s="184"/>
      <c r="N27" s="184"/>
      <c r="O27" s="184"/>
      <c r="P27" s="141"/>
    </row>
    <row r="28" spans="1:16"/>
    <row r="29" spans="1:16"/>
    <row r="30" spans="1:16"/>
    <row r="31" spans="1:16"/>
    <row r="32" spans="1:16"/>
    <row r="33"/>
    <row r="34"/>
    <row r="35"/>
  </sheetData>
  <sheetProtection algorithmName="SHA-512" hashValue="XIlTTvQPAWqcUG6PcVv1x4ex5LQ+Qvd5UM7JI/jAGzFF6vopYpmK2RLI/d86dMwKjcNmamTdcTTLafjFKYBpAg==" saltValue="gEnRxN8FHicHiDI4PCyIrQ==" spinCount="100000" sheet="1" objects="1" scenarios="1"/>
  <mergeCells count="7">
    <mergeCell ref="B21:O27"/>
    <mergeCell ref="B11:F11"/>
    <mergeCell ref="M2:O3"/>
    <mergeCell ref="P2:P3"/>
    <mergeCell ref="A2:L3"/>
    <mergeCell ref="B4:M5"/>
    <mergeCell ref="B8:N9"/>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Y181"/>
  <sheetViews>
    <sheetView zoomScale="72" zoomScaleNormal="55" workbookViewId="0">
      <selection activeCell="I70" sqref="I70"/>
    </sheetView>
  </sheetViews>
  <sheetFormatPr defaultColWidth="0" defaultRowHeight="15" zeroHeight="1"/>
  <cols>
    <col min="1" max="1" width="1.85546875" style="1" customWidth="1"/>
    <col min="2" max="2" width="33.28515625" style="1" customWidth="1"/>
    <col min="3" max="3" width="27.28515625" style="1" customWidth="1"/>
    <col min="4" max="4" width="17.7109375" style="1" customWidth="1"/>
    <col min="5" max="5" width="15.5703125" style="1" customWidth="1"/>
    <col min="6" max="6" width="18.140625" style="1" customWidth="1"/>
    <col min="7" max="7" width="17" style="1" customWidth="1"/>
    <col min="8" max="8" width="11.7109375" style="1" customWidth="1"/>
    <col min="9" max="9" width="53" style="1" bestFit="1" customWidth="1"/>
    <col min="10" max="10" width="25" style="1" customWidth="1"/>
    <col min="11" max="11" width="16" style="1" customWidth="1"/>
    <col min="12" max="12" width="17.7109375" style="1" customWidth="1"/>
    <col min="13" max="13" width="21" style="1" customWidth="1"/>
    <col min="14" max="14" width="20.7109375" style="1" customWidth="1"/>
    <col min="15" max="15" width="23.140625" style="1" customWidth="1"/>
    <col min="16" max="16" width="14.140625" style="1" customWidth="1"/>
    <col min="17" max="17" width="18.85546875" style="1" customWidth="1"/>
    <col min="18" max="18" width="23.140625" style="1" customWidth="1"/>
    <col min="19" max="19" width="15.7109375" style="1" bestFit="1" customWidth="1"/>
    <col min="20" max="20" width="21.42578125" style="1" customWidth="1"/>
    <col min="21" max="21" width="14.42578125" style="1" bestFit="1" customWidth="1"/>
    <col min="22" max="23" width="14.42578125" style="1" customWidth="1"/>
    <col min="24" max="24" width="12.5703125" style="1" bestFit="1" customWidth="1"/>
    <col min="25" max="25" width="0" style="1" hidden="1" customWidth="1"/>
    <col min="26" max="16384" width="9.140625" style="1" hidden="1"/>
  </cols>
  <sheetData>
    <row r="1" spans="1:24">
      <c r="A1" s="67"/>
      <c r="B1" s="67"/>
      <c r="C1" s="67"/>
      <c r="D1" s="67"/>
      <c r="E1" s="67"/>
      <c r="F1" s="67"/>
      <c r="G1" s="67"/>
      <c r="H1" s="67"/>
      <c r="I1" s="67"/>
      <c r="J1" s="67"/>
      <c r="K1" s="67"/>
      <c r="L1" s="67"/>
      <c r="M1" s="67"/>
      <c r="N1" s="67"/>
      <c r="O1" s="67"/>
      <c r="P1" s="67"/>
      <c r="Q1" s="67"/>
      <c r="R1" s="67"/>
      <c r="S1" s="67"/>
      <c r="T1" s="67"/>
      <c r="U1" s="67"/>
      <c r="V1" s="67"/>
      <c r="W1" s="67"/>
      <c r="X1" s="67"/>
    </row>
    <row r="2" spans="1:24" ht="26.25">
      <c r="A2" s="67"/>
      <c r="B2" s="194" t="s">
        <v>15</v>
      </c>
      <c r="C2" s="194"/>
      <c r="D2" s="194"/>
      <c r="E2" s="67"/>
      <c r="F2" s="67"/>
      <c r="G2" s="67"/>
      <c r="H2" s="67"/>
      <c r="I2" s="67"/>
      <c r="J2" s="67"/>
      <c r="K2" s="67"/>
      <c r="L2" s="67"/>
      <c r="M2" s="67"/>
      <c r="N2" s="67"/>
      <c r="O2" s="67"/>
      <c r="P2" s="67"/>
      <c r="Q2" s="67"/>
      <c r="R2" s="67"/>
      <c r="S2" s="67"/>
      <c r="T2" s="67"/>
      <c r="U2" s="67"/>
      <c r="V2" s="67"/>
      <c r="W2" s="67"/>
      <c r="X2" s="67"/>
    </row>
    <row r="3" spans="1:24" ht="21" customHeight="1">
      <c r="A3" s="67"/>
      <c r="B3" s="193" t="s">
        <v>16</v>
      </c>
      <c r="C3" s="193"/>
      <c r="D3" s="193"/>
      <c r="E3" s="67"/>
      <c r="F3" s="67"/>
      <c r="G3" s="67"/>
      <c r="H3" s="67"/>
      <c r="I3" s="67"/>
      <c r="J3" s="67"/>
      <c r="K3" s="67"/>
      <c r="L3" s="67"/>
      <c r="M3" s="67"/>
      <c r="N3" s="67"/>
      <c r="O3" s="67"/>
      <c r="P3" s="67"/>
      <c r="Q3" s="67"/>
      <c r="R3" s="67"/>
      <c r="S3" s="67"/>
      <c r="T3" s="67"/>
      <c r="U3" s="67"/>
      <c r="V3" s="67"/>
      <c r="W3" s="67"/>
      <c r="X3" s="67"/>
    </row>
    <row r="4" spans="1:24" ht="26.25" customHeight="1">
      <c r="A4" s="67"/>
      <c r="B4" s="193"/>
      <c r="C4" s="193"/>
      <c r="D4" s="193"/>
      <c r="E4" s="67"/>
      <c r="F4" s="67"/>
      <c r="G4" s="67"/>
      <c r="H4" s="67"/>
      <c r="I4" s="67"/>
      <c r="J4" s="67"/>
      <c r="K4" s="67"/>
      <c r="L4" s="67"/>
      <c r="M4" s="67"/>
      <c r="N4" s="67"/>
      <c r="O4" s="67"/>
      <c r="P4" s="67"/>
      <c r="Q4" s="67"/>
      <c r="R4" s="67"/>
      <c r="S4" s="67"/>
      <c r="T4" s="67"/>
      <c r="U4" s="67"/>
      <c r="V4" s="67"/>
      <c r="W4" s="67"/>
      <c r="X4" s="67"/>
    </row>
    <row r="5" spans="1:24" ht="26.1" customHeight="1">
      <c r="A5" s="67"/>
      <c r="B5" s="193"/>
      <c r="C5" s="193"/>
      <c r="D5" s="193"/>
      <c r="E5" s="67"/>
      <c r="F5" s="67"/>
      <c r="G5" s="67"/>
      <c r="H5" s="67"/>
      <c r="I5" s="67"/>
      <c r="J5" s="67"/>
      <c r="K5" s="67"/>
      <c r="L5" s="67"/>
      <c r="M5" s="67"/>
      <c r="N5" s="67"/>
      <c r="O5" s="67"/>
      <c r="P5" s="67"/>
      <c r="Q5" s="67"/>
      <c r="R5" s="67"/>
      <c r="S5" s="67"/>
      <c r="T5" s="67"/>
      <c r="U5" s="67"/>
      <c r="V5" s="67"/>
      <c r="W5" s="67"/>
      <c r="X5" s="67"/>
    </row>
    <row r="6" spans="1:24" ht="26.25">
      <c r="A6" s="67"/>
      <c r="B6" s="72"/>
      <c r="C6" s="73"/>
      <c r="D6" s="74"/>
      <c r="E6" s="67"/>
      <c r="F6" s="67"/>
      <c r="G6" s="67"/>
      <c r="H6" s="67"/>
      <c r="I6" s="67"/>
      <c r="J6" s="67"/>
      <c r="K6" s="67"/>
      <c r="L6" s="67"/>
      <c r="M6" s="67"/>
      <c r="N6" s="67"/>
      <c r="O6" s="67"/>
      <c r="P6" s="67"/>
      <c r="Q6" s="67"/>
      <c r="R6" s="67"/>
      <c r="S6" s="67"/>
      <c r="T6" s="67"/>
      <c r="U6" s="67"/>
      <c r="V6" s="67"/>
      <c r="W6" s="67"/>
      <c r="X6" s="67"/>
    </row>
    <row r="7" spans="1:24" ht="21" customHeight="1">
      <c r="B7" s="219" t="s">
        <v>17</v>
      </c>
      <c r="C7" s="219"/>
      <c r="D7" s="219"/>
    </row>
    <row r="8" spans="1:24" ht="20.100000000000001" customHeight="1">
      <c r="B8" s="219"/>
      <c r="C8" s="219"/>
      <c r="D8" s="219"/>
    </row>
    <row r="9" spans="1:24" ht="83.1" customHeight="1">
      <c r="B9" s="192" t="s">
        <v>18</v>
      </c>
      <c r="C9" s="192"/>
      <c r="D9" s="192"/>
      <c r="E9" s="192"/>
      <c r="F9" s="192"/>
      <c r="G9" s="192"/>
      <c r="H9" s="192"/>
      <c r="I9" s="192"/>
    </row>
    <row r="10" spans="1:24" ht="20.100000000000001" customHeight="1">
      <c r="B10" s="42"/>
      <c r="C10" s="6"/>
    </row>
    <row r="11" spans="1:24" ht="23.45" customHeight="1">
      <c r="B11" s="220" t="s">
        <v>19</v>
      </c>
      <c r="C11" s="220"/>
      <c r="D11" s="32"/>
      <c r="E11" s="32"/>
      <c r="H11" s="132"/>
    </row>
    <row r="12" spans="1:24" ht="21.6" customHeight="1">
      <c r="B12" s="92" t="s">
        <v>20</v>
      </c>
      <c r="C12" s="91"/>
    </row>
    <row r="13" spans="1:24" ht="21.6" customHeight="1">
      <c r="B13" s="92"/>
      <c r="C13" s="91"/>
    </row>
    <row r="14" spans="1:24" ht="21.6" customHeight="1" thickBot="1">
      <c r="B14" s="55"/>
      <c r="C14" s="32"/>
    </row>
    <row r="15" spans="1:24" s="56" customFormat="1" ht="51.75" customHeight="1" thickBot="1">
      <c r="B15" s="221" t="s">
        <v>21</v>
      </c>
      <c r="C15" s="223" t="s">
        <v>22</v>
      </c>
      <c r="D15" s="242" t="s">
        <v>23</v>
      </c>
      <c r="E15" s="223"/>
      <c r="F15" s="151"/>
      <c r="G15" s="152"/>
      <c r="J15" s="134" t="s">
        <v>24</v>
      </c>
      <c r="K15" s="75" t="s">
        <v>25</v>
      </c>
      <c r="L15" s="75" t="s">
        <v>26</v>
      </c>
      <c r="M15" s="75" t="s">
        <v>27</v>
      </c>
      <c r="N15" s="75" t="s">
        <v>28</v>
      </c>
      <c r="O15" s="75" t="s">
        <v>29</v>
      </c>
      <c r="P15" s="75" t="s">
        <v>30</v>
      </c>
      <c r="Q15" s="75" t="s">
        <v>31</v>
      </c>
      <c r="R15" s="75" t="s">
        <v>32</v>
      </c>
      <c r="S15" s="75" t="s">
        <v>33</v>
      </c>
      <c r="T15" s="76"/>
      <c r="U15" s="76" t="s">
        <v>34</v>
      </c>
      <c r="V15" s="75" t="s">
        <v>35</v>
      </c>
      <c r="W15" s="77" t="s">
        <v>36</v>
      </c>
    </row>
    <row r="16" spans="1:24" s="56" customFormat="1" ht="31.5">
      <c r="B16" s="222"/>
      <c r="C16" s="224"/>
      <c r="D16" s="78" t="s">
        <v>37</v>
      </c>
      <c r="E16" s="80" t="s">
        <v>38</v>
      </c>
      <c r="F16" s="149"/>
      <c r="G16" s="149"/>
      <c r="J16" s="78" t="s">
        <v>39</v>
      </c>
      <c r="K16" s="79" t="s">
        <v>40</v>
      </c>
      <c r="L16" s="79" t="s">
        <v>41</v>
      </c>
      <c r="M16" s="79" t="s">
        <v>42</v>
      </c>
      <c r="N16" s="79" t="s">
        <v>43</v>
      </c>
      <c r="O16" s="79" t="s">
        <v>44</v>
      </c>
      <c r="P16" s="79" t="s">
        <v>45</v>
      </c>
      <c r="Q16" s="79" t="s">
        <v>46</v>
      </c>
      <c r="R16" s="79" t="s">
        <v>47</v>
      </c>
      <c r="S16" s="79" t="s">
        <v>38</v>
      </c>
      <c r="T16" s="79" t="s">
        <v>48</v>
      </c>
      <c r="U16" s="79" t="s">
        <v>49</v>
      </c>
      <c r="V16" s="79" t="s">
        <v>50</v>
      </c>
      <c r="W16" s="80" t="s">
        <v>51</v>
      </c>
    </row>
    <row r="17" spans="2:23" ht="15.75">
      <c r="B17" s="58"/>
      <c r="C17" s="59"/>
      <c r="D17" s="81" t="str">
        <f>IF(ISBLANK($B17),"",IF(ISERROR(VLOOKUP($B17,'2 Feedstock database'!$B$16:$N$29,2,FALSE)),"",VLOOKUP($B17,'2 Feedstock database'!$B$16:$N$29,2,FALSE)))</f>
        <v/>
      </c>
      <c r="E17" s="82" t="str">
        <f>IF(ISBLANK($B17),"",IF(ISERROR(VLOOKUP($B17,'2 Feedstock database'!$B$16:$N$29,3,FALSE)),"",VLOOKUP($B17,'2 Feedstock database'!$B$16:$N$29,3,FALSE)))</f>
        <v/>
      </c>
      <c r="F17" s="150"/>
      <c r="G17" s="153"/>
      <c r="J17" s="135" t="str">
        <f>IF(ISBLANK($B17),"",IF(ISERROR(VLOOKUP($B17,'2 Feedstock database'!$B$16:$N$29,6,FALSE)),"",VLOOKUP($B17,'2 Feedstock database'!$B$16:$N$29,6,FALSE)))</f>
        <v/>
      </c>
      <c r="K17" s="83" t="str">
        <f>IF(ISBLANK($B17),"",IF(ISERROR(VLOOKUP($B17,'2 Feedstock database'!$B$16:$N$29,7,FALSE)),"",VLOOKUP($B17,'2 Feedstock database'!$B$16:$N$29,7,FALSE)))</f>
        <v/>
      </c>
      <c r="L17" s="83" t="str">
        <f>IF(ISBLANK($B17),"",IF(ISERROR(VLOOKUP($B17,'2 Feedstock database'!$B$16:$N$29,8,FALSE)),"",VLOOKUP($B17,'2 Feedstock database'!$B$16:$N$29,8,FALSE)))</f>
        <v/>
      </c>
      <c r="M17" s="83" t="str">
        <f>IF(ISBLANK($B17),"",IF(ISERROR(VLOOKUP($B17,'2 Feedstock database'!$B$16:$N$29,9,FALSE)),"",VLOOKUP($B17,'2 Feedstock database'!$B$16:$N$29,9,FALSE)))</f>
        <v/>
      </c>
      <c r="N17" s="83" t="str">
        <f t="shared" ref="N17:N27" si="0">IF(ISERROR(C17*K17*L17),"",C17*K17*L17)</f>
        <v/>
      </c>
      <c r="O17" s="83" t="str">
        <f>IF(ISBLANK($B17),"",IF(ISERROR(VLOOKUP($B17,'2 Feedstock database'!$B$16:$N$29,10,FALSE)),"",VLOOKUP($B17,'2 Feedstock database'!$B$16:$N$29,10,FALSE)))</f>
        <v/>
      </c>
      <c r="P17" s="84" t="str">
        <f>IF(ISERROR(N17*O17),"",N17*O17)</f>
        <v/>
      </c>
      <c r="Q17" s="83" t="str">
        <f>IF(ISBLANK($B17),"",IF(ISERROR(VLOOKUP($B17,'2 Feedstock database'!$B$16:$N$29,11,FALSE)),"",VLOOKUP($B17,'2 Feedstock database'!$B$16:$N$29,11,FALSE)))</f>
        <v/>
      </c>
      <c r="R17" s="83" t="str">
        <f>IF(ISBLANK($B17),"",IF(ISERROR(VLOOKUP($B17,'2 Feedstock database'!$B$16:$N$29,12,FALSE)),"",VLOOKUP($B17,'2 Feedstock database'!$B$16:$N$29,12,FALSE)))</f>
        <v/>
      </c>
      <c r="S17" s="83" t="str">
        <f>IF(ISBLANK($B17),"",IF(ISERROR(VLOOKUP($B17,'2 Feedstock database'!$B$16:$N$29,13,FALSE)),"",VLOOKUP($B17,'2 Feedstock database'!$B$16:$N$29,13,FALSE)))</f>
        <v/>
      </c>
      <c r="T17" s="84" t="str">
        <f t="shared" ref="T17:T27" si="1">IF(ISERROR(C17*J17),"",C17*J17)</f>
        <v/>
      </c>
      <c r="U17" s="84" t="str">
        <f t="shared" ref="U17:U27" si="2">IF(ISERROR(C17*K17),"",C17*K17)</f>
        <v/>
      </c>
      <c r="V17" s="84" t="str">
        <f>IF(ISERROR(U17*Q17),"",U17*Q17)</f>
        <v/>
      </c>
      <c r="W17" s="85" t="str">
        <f>IF(ISERROR(U17*R17),"",U17*R17)</f>
        <v/>
      </c>
    </row>
    <row r="18" spans="2:23" ht="15.75">
      <c r="B18" s="58"/>
      <c r="C18" s="59"/>
      <c r="D18" s="81" t="str">
        <f>IF(ISBLANK($B18),"",IF(ISERROR(VLOOKUP($B18,'2 Feedstock database'!$B$16:$N$29,2,FALSE)),"",VLOOKUP($B18,'2 Feedstock database'!$B$16:$N$29,2,FALSE)))</f>
        <v/>
      </c>
      <c r="E18" s="82" t="str">
        <f>IF(ISBLANK($B18),"",IF(ISERROR(VLOOKUP($B18,'2 Feedstock database'!$B$16:$N$29,3,FALSE)),"",VLOOKUP($B18,'2 Feedstock database'!$B$16:$N$29,3,FALSE)))</f>
        <v/>
      </c>
      <c r="F18" s="150"/>
      <c r="G18" s="153"/>
      <c r="J18" s="135" t="str">
        <f>IF(ISBLANK($B18),"",IF(ISERROR(VLOOKUP($B18,'2 Feedstock database'!$B$16:$N$29,6,FALSE)),"",VLOOKUP($B18,'2 Feedstock database'!$B$16:$N$29,6,FALSE)))</f>
        <v/>
      </c>
      <c r="K18" s="83" t="str">
        <f>IF(ISBLANK($B18),"",IF(ISERROR(VLOOKUP($B18,'2 Feedstock database'!$B$16:$N$29,7,FALSE)),"",VLOOKUP($B18,'2 Feedstock database'!$B$16:$N$29,7,FALSE)))</f>
        <v/>
      </c>
      <c r="L18" s="83" t="str">
        <f>IF(ISBLANK($B18),"",IF(ISERROR(VLOOKUP($B18,'2 Feedstock database'!$B$16:$N$29,8,FALSE)),"",VLOOKUP($B18,'2 Feedstock database'!$B$16:$N$29,8,FALSE)))</f>
        <v/>
      </c>
      <c r="M18" s="83" t="str">
        <f>IF(ISBLANK($B18),"",IF(ISERROR(VLOOKUP($B18,'2 Feedstock database'!$B$16:$N$29,9,FALSE)),"",VLOOKUP($B18,'2 Feedstock database'!$B$16:$N$29,9,FALSE)))</f>
        <v/>
      </c>
      <c r="N18" s="83" t="str">
        <f t="shared" si="0"/>
        <v/>
      </c>
      <c r="O18" s="83" t="str">
        <f>IF(ISBLANK($B18),"",IF(ISERROR(VLOOKUP($B18,'2 Feedstock database'!$B$16:$N$29,10,FALSE)),"",VLOOKUP($B18,'2 Feedstock database'!$B$16:$N$29,10,FALSE)))</f>
        <v/>
      </c>
      <c r="P18" s="84" t="str">
        <f t="shared" ref="P18:P27" si="3">IF(ISERROR(N18*O18),"",N18*O18)</f>
        <v/>
      </c>
      <c r="Q18" s="83" t="str">
        <f>IF(ISBLANK($B18),"",IF(ISERROR(VLOOKUP($B18,'2 Feedstock database'!$B$16:$N$29,11,FALSE)),"",VLOOKUP($B18,'2 Feedstock database'!$B$16:$N$29,11,FALSE)))</f>
        <v/>
      </c>
      <c r="R18" s="83" t="str">
        <f>IF(ISBLANK($B18),"",IF(ISERROR(VLOOKUP($B18,'2 Feedstock database'!$B$16:$N$29,12,FALSE)),"",VLOOKUP($B18,'2 Feedstock database'!$B$16:$N$29,12,FALSE)))</f>
        <v/>
      </c>
      <c r="S18" s="83" t="str">
        <f>IF(ISBLANK($B18),"",IF(ISERROR(VLOOKUP($B18,'2 Feedstock database'!$B$16:$N$29,13,FALSE)),"",VLOOKUP($B18,'2 Feedstock database'!$B$16:$N$29,13,FALSE)))</f>
        <v/>
      </c>
      <c r="T18" s="84" t="str">
        <f t="shared" si="1"/>
        <v/>
      </c>
      <c r="U18" s="84" t="str">
        <f t="shared" si="2"/>
        <v/>
      </c>
      <c r="V18" s="84" t="str">
        <f t="shared" ref="V18:V27" si="4">IF(ISERROR(U18*Q18),"",U18*Q18)</f>
        <v/>
      </c>
      <c r="W18" s="85" t="str">
        <f t="shared" ref="W18:W27" si="5">IF(ISERROR(U18*R18),"",U18*R18)</f>
        <v/>
      </c>
    </row>
    <row r="19" spans="2:23" ht="15.75">
      <c r="B19" s="58"/>
      <c r="C19" s="59"/>
      <c r="D19" s="81" t="str">
        <f>IF(ISBLANK($B19),"",IF(ISERROR(VLOOKUP($B19,'2 Feedstock database'!$B$16:$N$29,2,FALSE)),"",VLOOKUP($B19,'2 Feedstock database'!$B$16:$N$29,2,FALSE)))</f>
        <v/>
      </c>
      <c r="E19" s="82" t="str">
        <f>IF(ISBLANK($B19),"",IF(ISERROR(VLOOKUP($B19,'2 Feedstock database'!$B$16:$N$29,3,FALSE)),"",VLOOKUP($B19,'2 Feedstock database'!$B$16:$N$29,3,FALSE)))</f>
        <v/>
      </c>
      <c r="F19" s="150"/>
      <c r="G19" s="153"/>
      <c r="J19" s="135" t="str">
        <f>IF(ISBLANK($B19),"",IF(ISERROR(VLOOKUP($B19,'2 Feedstock database'!$B$16:$N$29,6,FALSE)),"",VLOOKUP($B19,'2 Feedstock database'!$B$16:$N$29,6,FALSE)))</f>
        <v/>
      </c>
      <c r="K19" s="83" t="str">
        <f>IF(ISBLANK($B19),"",IF(ISERROR(VLOOKUP($B19,'2 Feedstock database'!$B$16:$N$29,7,FALSE)),"",VLOOKUP($B19,'2 Feedstock database'!$B$16:$N$29,7,FALSE)))</f>
        <v/>
      </c>
      <c r="L19" s="83" t="str">
        <f>IF(ISBLANK($B19),"",IF(ISERROR(VLOOKUP($B19,'2 Feedstock database'!$B$16:$N$29,8,FALSE)),"",VLOOKUP($B19,'2 Feedstock database'!$B$16:$N$29,8,FALSE)))</f>
        <v/>
      </c>
      <c r="M19" s="83" t="str">
        <f>IF(ISBLANK($B19),"",IF(ISERROR(VLOOKUP($B19,'2 Feedstock database'!$B$16:$N$29,9,FALSE)),"",VLOOKUP($B19,'2 Feedstock database'!$B$16:$N$29,9,FALSE)))</f>
        <v/>
      </c>
      <c r="N19" s="83" t="str">
        <f t="shared" si="0"/>
        <v/>
      </c>
      <c r="O19" s="83" t="str">
        <f>IF(ISBLANK($B19),"",IF(ISERROR(VLOOKUP($B19,'2 Feedstock database'!$B$16:$N$29,10,FALSE)),"",VLOOKUP($B19,'2 Feedstock database'!$B$16:$N$29,10,FALSE)))</f>
        <v/>
      </c>
      <c r="P19" s="84" t="str">
        <f t="shared" si="3"/>
        <v/>
      </c>
      <c r="Q19" s="83" t="str">
        <f>IF(ISBLANK($B19),"",IF(ISERROR(VLOOKUP($B19,'2 Feedstock database'!$B$16:$N$29,11,FALSE)),"",VLOOKUP($B19,'2 Feedstock database'!$B$16:$N$29,11,FALSE)))</f>
        <v/>
      </c>
      <c r="R19" s="83" t="str">
        <f>IF(ISBLANK($B19),"",IF(ISERROR(VLOOKUP($B19,'2 Feedstock database'!$B$16:$N$29,12,FALSE)),"",VLOOKUP($B19,'2 Feedstock database'!$B$16:$N$29,12,FALSE)))</f>
        <v/>
      </c>
      <c r="S19" s="83" t="str">
        <f>IF(ISBLANK($B19),"",IF(ISERROR(VLOOKUP($B19,'2 Feedstock database'!$B$16:$N$29,13,FALSE)),"",VLOOKUP($B19,'2 Feedstock database'!$B$16:$N$29,13,FALSE)))</f>
        <v/>
      </c>
      <c r="T19" s="84" t="str">
        <f t="shared" si="1"/>
        <v/>
      </c>
      <c r="U19" s="84" t="str">
        <f t="shared" si="2"/>
        <v/>
      </c>
      <c r="V19" s="84" t="str">
        <f t="shared" si="4"/>
        <v/>
      </c>
      <c r="W19" s="85" t="str">
        <f t="shared" si="5"/>
        <v/>
      </c>
    </row>
    <row r="20" spans="2:23" ht="15.75">
      <c r="B20" s="58"/>
      <c r="C20" s="59"/>
      <c r="D20" s="81" t="str">
        <f>IF(ISBLANK($B20),"",IF(ISERROR(VLOOKUP($B20,'2 Feedstock database'!$B$16:$N$29,2,FALSE)),"",VLOOKUP($B20,'2 Feedstock database'!$B$16:$N$29,2,FALSE)))</f>
        <v/>
      </c>
      <c r="E20" s="82" t="str">
        <f>IF(ISBLANK($B20),"",IF(ISERROR(VLOOKUP($B20,'2 Feedstock database'!$B$16:$N$29,3,FALSE)),"",VLOOKUP($B20,'2 Feedstock database'!$B$16:$N$29,3,FALSE)))</f>
        <v/>
      </c>
      <c r="F20" s="150"/>
      <c r="G20" s="153"/>
      <c r="J20" s="135" t="str">
        <f>IF(ISBLANK($B20),"",IF(ISERROR(VLOOKUP($B20,'2 Feedstock database'!$B$16:$N$29,6,FALSE)),"",VLOOKUP($B20,'2 Feedstock database'!$B$16:$N$29,6,FALSE)))</f>
        <v/>
      </c>
      <c r="K20" s="83" t="str">
        <f>IF(ISBLANK($B20),"",IF(ISERROR(VLOOKUP($B20,'2 Feedstock database'!$B$16:$N$29,7,FALSE)),"",VLOOKUP($B20,'2 Feedstock database'!$B$16:$N$29,7,FALSE)))</f>
        <v/>
      </c>
      <c r="L20" s="83" t="str">
        <f>IF(ISBLANK($B20),"",IF(ISERROR(VLOOKUP($B20,'2 Feedstock database'!$B$16:$N$29,8,FALSE)),"",VLOOKUP($B20,'2 Feedstock database'!$B$16:$N$29,8,FALSE)))</f>
        <v/>
      </c>
      <c r="M20" s="83" t="str">
        <f>IF(ISBLANK($B20),"",IF(ISERROR(VLOOKUP($B20,'2 Feedstock database'!$B$16:$N$29,9,FALSE)),"",VLOOKUP($B20,'2 Feedstock database'!$B$16:$N$29,9,FALSE)))</f>
        <v/>
      </c>
      <c r="N20" s="83" t="str">
        <f t="shared" si="0"/>
        <v/>
      </c>
      <c r="O20" s="83" t="str">
        <f>IF(ISBLANK($B20),"",IF(ISERROR(VLOOKUP($B20,'2 Feedstock database'!$B$16:$N$29,10,FALSE)),"",VLOOKUP($B20,'2 Feedstock database'!$B$16:$N$29,10,FALSE)))</f>
        <v/>
      </c>
      <c r="P20" s="84" t="str">
        <f t="shared" si="3"/>
        <v/>
      </c>
      <c r="Q20" s="83" t="str">
        <f>IF(ISBLANK($B20),"",IF(ISERROR(VLOOKUP($B20,'2 Feedstock database'!$B$16:$N$29,11,FALSE)),"",VLOOKUP($B20,'2 Feedstock database'!$B$16:$N$29,11,FALSE)))</f>
        <v/>
      </c>
      <c r="R20" s="83" t="str">
        <f>IF(ISBLANK($B20),"",IF(ISERROR(VLOOKUP($B20,'2 Feedstock database'!$B$16:$N$29,12,FALSE)),"",VLOOKUP($B20,'2 Feedstock database'!$B$16:$N$29,12,FALSE)))</f>
        <v/>
      </c>
      <c r="S20" s="83" t="str">
        <f>IF(ISBLANK($B20),"",IF(ISERROR(VLOOKUP($B20,'2 Feedstock database'!$B$16:$N$29,13,FALSE)),"",VLOOKUP($B20,'2 Feedstock database'!$B$16:$N$29,13,FALSE)))</f>
        <v/>
      </c>
      <c r="T20" s="84" t="str">
        <f t="shared" si="1"/>
        <v/>
      </c>
      <c r="U20" s="84" t="str">
        <f t="shared" si="2"/>
        <v/>
      </c>
      <c r="V20" s="84" t="str">
        <f t="shared" si="4"/>
        <v/>
      </c>
      <c r="W20" s="85" t="str">
        <f t="shared" si="5"/>
        <v/>
      </c>
    </row>
    <row r="21" spans="2:23" ht="15.75">
      <c r="B21" s="58"/>
      <c r="C21" s="59"/>
      <c r="D21" s="81" t="str">
        <f>IF(ISBLANK($B21),"",IF(ISERROR(VLOOKUP($B21,'2 Feedstock database'!$B$16:$N$29,2,FALSE)),"",VLOOKUP($B21,'2 Feedstock database'!$B$16:$N$29,2,FALSE)))</f>
        <v/>
      </c>
      <c r="E21" s="82" t="str">
        <f>IF(ISBLANK($B21),"",IF(ISERROR(VLOOKUP($B21,'2 Feedstock database'!$B$16:$N$29,3,FALSE)),"",VLOOKUP($B21,'2 Feedstock database'!$B$16:$N$29,3,FALSE)))</f>
        <v/>
      </c>
      <c r="F21" s="150"/>
      <c r="G21" s="153"/>
      <c r="J21" s="135" t="str">
        <f>IF(ISBLANK($B21),"",IF(ISERROR(VLOOKUP($B21,'2 Feedstock database'!$B$16:$N$29,6,FALSE)),"",VLOOKUP($B21,'2 Feedstock database'!$B$16:$N$29,6,FALSE)))</f>
        <v/>
      </c>
      <c r="K21" s="83" t="str">
        <f>IF(ISBLANK($B21),"",IF(ISERROR(VLOOKUP($B21,'2 Feedstock database'!$B$16:$N$29,7,FALSE)),"",VLOOKUP($B21,'2 Feedstock database'!$B$16:$N$29,7,FALSE)))</f>
        <v/>
      </c>
      <c r="L21" s="83" t="str">
        <f>IF(ISBLANK($B21),"",IF(ISERROR(VLOOKUP($B21,'2 Feedstock database'!$B$16:$N$29,8,FALSE)),"",VLOOKUP($B21,'2 Feedstock database'!$B$16:$N$29,8,FALSE)))</f>
        <v/>
      </c>
      <c r="M21" s="83" t="str">
        <f>IF(ISBLANK($B21),"",IF(ISERROR(VLOOKUP($B21,'2 Feedstock database'!$B$16:$N$29,9,FALSE)),"",VLOOKUP($B21,'2 Feedstock database'!$B$16:$N$29,9,FALSE)))</f>
        <v/>
      </c>
      <c r="N21" s="83" t="str">
        <f t="shared" si="0"/>
        <v/>
      </c>
      <c r="O21" s="83" t="str">
        <f>IF(ISBLANK($B21),"",IF(ISERROR(VLOOKUP($B21,'2 Feedstock database'!$B$16:$N$29,10,FALSE)),"",VLOOKUP($B21,'2 Feedstock database'!$B$16:$N$29,10,FALSE)))</f>
        <v/>
      </c>
      <c r="P21" s="84" t="str">
        <f t="shared" si="3"/>
        <v/>
      </c>
      <c r="Q21" s="83" t="str">
        <f>IF(ISBLANK($B21),"",IF(ISERROR(VLOOKUP($B21,'2 Feedstock database'!$B$16:$N$29,11,FALSE)),"",VLOOKUP($B21,'2 Feedstock database'!$B$16:$N$29,11,FALSE)))</f>
        <v/>
      </c>
      <c r="R21" s="83" t="str">
        <f>IF(ISBLANK($B21),"",IF(ISERROR(VLOOKUP($B21,'2 Feedstock database'!$B$16:$N$29,12,FALSE)),"",VLOOKUP($B21,'2 Feedstock database'!$B$16:$N$29,12,FALSE)))</f>
        <v/>
      </c>
      <c r="S21" s="83" t="str">
        <f>IF(ISBLANK($B21),"",IF(ISERROR(VLOOKUP($B21,'2 Feedstock database'!$B$16:$N$29,13,FALSE)),"",VLOOKUP($B21,'2 Feedstock database'!$B$16:$N$29,13,FALSE)))</f>
        <v/>
      </c>
      <c r="T21" s="84" t="str">
        <f t="shared" si="1"/>
        <v/>
      </c>
      <c r="U21" s="84" t="str">
        <f t="shared" si="2"/>
        <v/>
      </c>
      <c r="V21" s="84" t="str">
        <f t="shared" si="4"/>
        <v/>
      </c>
      <c r="W21" s="85" t="str">
        <f t="shared" si="5"/>
        <v/>
      </c>
    </row>
    <row r="22" spans="2:23" ht="15.75">
      <c r="B22" s="58"/>
      <c r="C22" s="59"/>
      <c r="D22" s="81" t="str">
        <f>IF(ISBLANK($B22),"",IF(ISERROR(VLOOKUP($B22,'2 Feedstock database'!$B$16:$N$29,2,FALSE)),"",VLOOKUP($B22,'2 Feedstock database'!$B$16:$N$29,2,FALSE)))</f>
        <v/>
      </c>
      <c r="E22" s="82" t="str">
        <f>IF(ISBLANK($B22),"",IF(ISERROR(VLOOKUP($B22,'2 Feedstock database'!$B$16:$N$29,3,FALSE)),"",VLOOKUP($B22,'2 Feedstock database'!$B$16:$N$29,3,FALSE)))</f>
        <v/>
      </c>
      <c r="F22" s="150"/>
      <c r="G22" s="153"/>
      <c r="J22" s="135" t="str">
        <f>IF(ISBLANK($B22),"",IF(ISERROR(VLOOKUP($B22,'2 Feedstock database'!$B$16:$N$29,6,FALSE)),"",VLOOKUP($B22,'2 Feedstock database'!$B$16:$N$29,6,FALSE)))</f>
        <v/>
      </c>
      <c r="K22" s="83" t="str">
        <f>IF(ISBLANK($B22),"",IF(ISERROR(VLOOKUP($B22,'2 Feedstock database'!$B$16:$N$29,7,FALSE)),"",VLOOKUP($B22,'2 Feedstock database'!$B$16:$N$29,7,FALSE)))</f>
        <v/>
      </c>
      <c r="L22" s="83" t="str">
        <f>IF(ISBLANK($B22),"",IF(ISERROR(VLOOKUP($B22,'2 Feedstock database'!$B$16:$N$29,8,FALSE)),"",VLOOKUP($B22,'2 Feedstock database'!$B$16:$N$29,8,FALSE)))</f>
        <v/>
      </c>
      <c r="M22" s="83" t="str">
        <f>IF(ISBLANK($B22),"",IF(ISERROR(VLOOKUP($B22,'2 Feedstock database'!$B$16:$N$29,9,FALSE)),"",VLOOKUP($B22,'2 Feedstock database'!$B$16:$N$29,9,FALSE)))</f>
        <v/>
      </c>
      <c r="N22" s="83" t="str">
        <f t="shared" si="0"/>
        <v/>
      </c>
      <c r="O22" s="83" t="str">
        <f>IF(ISBLANK($B22),"",IF(ISERROR(VLOOKUP($B22,'2 Feedstock database'!$B$16:$N$29,10,FALSE)),"",VLOOKUP($B22,'2 Feedstock database'!$B$16:$N$29,10,FALSE)))</f>
        <v/>
      </c>
      <c r="P22" s="84" t="str">
        <f t="shared" si="3"/>
        <v/>
      </c>
      <c r="Q22" s="83" t="str">
        <f>IF(ISBLANK($B22),"",IF(ISERROR(VLOOKUP($B22,'2 Feedstock database'!$B$16:$N$29,11,FALSE)),"",VLOOKUP($B22,'2 Feedstock database'!$B$16:$N$29,11,FALSE)))</f>
        <v/>
      </c>
      <c r="R22" s="83" t="str">
        <f>IF(ISBLANK($B22),"",IF(ISERROR(VLOOKUP($B22,'2 Feedstock database'!$B$16:$N$29,12,FALSE)),"",VLOOKUP($B22,'2 Feedstock database'!$B$16:$N$29,12,FALSE)))</f>
        <v/>
      </c>
      <c r="S22" s="83" t="str">
        <f>IF(ISBLANK($B22),"",IF(ISERROR(VLOOKUP($B22,'2 Feedstock database'!$B$16:$N$29,13,FALSE)),"",VLOOKUP($B22,'2 Feedstock database'!$B$16:$N$29,13,FALSE)))</f>
        <v/>
      </c>
      <c r="T22" s="84" t="str">
        <f t="shared" si="1"/>
        <v/>
      </c>
      <c r="U22" s="84" t="str">
        <f t="shared" si="2"/>
        <v/>
      </c>
      <c r="V22" s="84" t="str">
        <f t="shared" si="4"/>
        <v/>
      </c>
      <c r="W22" s="85" t="str">
        <f t="shared" si="5"/>
        <v/>
      </c>
    </row>
    <row r="23" spans="2:23" ht="15.75">
      <c r="B23" s="58"/>
      <c r="C23" s="59"/>
      <c r="D23" s="81" t="str">
        <f>IF(ISBLANK($B23),"",IF(ISERROR(VLOOKUP($B23,'2 Feedstock database'!$B$16:$N$29,2,FALSE)),"",VLOOKUP($B23,'2 Feedstock database'!$B$16:$N$29,2,FALSE)))</f>
        <v/>
      </c>
      <c r="E23" s="82" t="str">
        <f>IF(ISBLANK($B23),"",IF(ISERROR(VLOOKUP($B23,'2 Feedstock database'!$B$16:$N$29,3,FALSE)),"",VLOOKUP($B23,'2 Feedstock database'!$B$16:$N$29,3,FALSE)))</f>
        <v/>
      </c>
      <c r="F23" s="150"/>
      <c r="G23" s="153"/>
      <c r="J23" s="135" t="str">
        <f>IF(ISBLANK($B23),"",IF(ISERROR(VLOOKUP($B23,'2 Feedstock database'!$B$16:$N$29,6,FALSE)),"",VLOOKUP($B23,'2 Feedstock database'!$B$16:$N$29,6,FALSE)))</f>
        <v/>
      </c>
      <c r="K23" s="83" t="str">
        <f>IF(ISBLANK($B23),"",IF(ISERROR(VLOOKUP($B23,'2 Feedstock database'!$B$16:$N$29,7,FALSE)),"",VLOOKUP($B23,'2 Feedstock database'!$B$16:$N$29,7,FALSE)))</f>
        <v/>
      </c>
      <c r="L23" s="83" t="str">
        <f>IF(ISBLANK($B23),"",IF(ISERROR(VLOOKUP($B23,'2 Feedstock database'!$B$16:$N$29,8,FALSE)),"",VLOOKUP($B23,'2 Feedstock database'!$B$16:$N$29,8,FALSE)))</f>
        <v/>
      </c>
      <c r="M23" s="83" t="str">
        <f>IF(ISBLANK($B23),"",IF(ISERROR(VLOOKUP($B23,'2 Feedstock database'!$B$16:$N$29,9,FALSE)),"",VLOOKUP($B23,'2 Feedstock database'!$B$16:$N$29,9,FALSE)))</f>
        <v/>
      </c>
      <c r="N23" s="83" t="str">
        <f t="shared" si="0"/>
        <v/>
      </c>
      <c r="O23" s="83" t="str">
        <f>IF(ISBLANK($B23),"",IF(ISERROR(VLOOKUP($B23,'2 Feedstock database'!$B$16:$N$29,10,FALSE)),"",VLOOKUP($B23,'2 Feedstock database'!$B$16:$N$29,10,FALSE)))</f>
        <v/>
      </c>
      <c r="P23" s="84" t="str">
        <f t="shared" si="3"/>
        <v/>
      </c>
      <c r="Q23" s="83" t="str">
        <f>IF(ISBLANK($B23),"",IF(ISERROR(VLOOKUP($B23,'2 Feedstock database'!$B$16:$N$29,11,FALSE)),"",VLOOKUP($B23,'2 Feedstock database'!$B$16:$N$29,11,FALSE)))</f>
        <v/>
      </c>
      <c r="R23" s="83" t="str">
        <f>IF(ISBLANK($B23),"",IF(ISERROR(VLOOKUP($B23,'2 Feedstock database'!$B$16:$N$29,12,FALSE)),"",VLOOKUP($B23,'2 Feedstock database'!$B$16:$N$29,12,FALSE)))</f>
        <v/>
      </c>
      <c r="S23" s="83" t="str">
        <f>IF(ISBLANK($B23),"",IF(ISERROR(VLOOKUP($B23,'2 Feedstock database'!$B$16:$N$29,13,FALSE)),"",VLOOKUP($B23,'2 Feedstock database'!$B$16:$N$29,13,FALSE)))</f>
        <v/>
      </c>
      <c r="T23" s="84" t="str">
        <f t="shared" si="1"/>
        <v/>
      </c>
      <c r="U23" s="84" t="str">
        <f t="shared" si="2"/>
        <v/>
      </c>
      <c r="V23" s="84" t="str">
        <f t="shared" si="4"/>
        <v/>
      </c>
      <c r="W23" s="85" t="str">
        <f t="shared" si="5"/>
        <v/>
      </c>
    </row>
    <row r="24" spans="2:23" ht="15.75">
      <c r="B24" s="58"/>
      <c r="C24" s="59"/>
      <c r="D24" s="81" t="str">
        <f>IF(ISBLANK($B24),"",IF(ISERROR(VLOOKUP($B24,'2 Feedstock database'!$B$16:$N$29,2,FALSE)),"",VLOOKUP($B24,'2 Feedstock database'!$B$16:$N$29,2,FALSE)))</f>
        <v/>
      </c>
      <c r="E24" s="82" t="str">
        <f>IF(ISBLANK($B24),"",IF(ISERROR(VLOOKUP($B24,'2 Feedstock database'!$B$16:$N$29,3,FALSE)),"",VLOOKUP($B24,'2 Feedstock database'!$B$16:$N$29,3,FALSE)))</f>
        <v/>
      </c>
      <c r="F24" s="150"/>
      <c r="G24" s="153"/>
      <c r="J24" s="135" t="str">
        <f>IF(ISBLANK($B24),"",IF(ISERROR(VLOOKUP($B24,'2 Feedstock database'!$B$16:$N$29,6,FALSE)),"",VLOOKUP($B24,'2 Feedstock database'!$B$16:$N$29,6,FALSE)))</f>
        <v/>
      </c>
      <c r="K24" s="83" t="str">
        <f>IF(ISBLANK($B24),"",IF(ISERROR(VLOOKUP($B24,'2 Feedstock database'!$B$16:$N$29,7,FALSE)),"",VLOOKUP($B24,'2 Feedstock database'!$B$16:$N$29,7,FALSE)))</f>
        <v/>
      </c>
      <c r="L24" s="83" t="str">
        <f>IF(ISBLANK($B24),"",IF(ISERROR(VLOOKUP($B24,'2 Feedstock database'!$B$16:$N$29,8,FALSE)),"",VLOOKUP($B24,'2 Feedstock database'!$B$16:$N$29,8,FALSE)))</f>
        <v/>
      </c>
      <c r="M24" s="83" t="str">
        <f>IF(ISBLANK($B24),"",IF(ISERROR(VLOOKUP($B24,'2 Feedstock database'!$B$16:$N$29,9,FALSE)),"",VLOOKUP($B24,'2 Feedstock database'!$B$16:$N$29,9,FALSE)))</f>
        <v/>
      </c>
      <c r="N24" s="83" t="str">
        <f t="shared" si="0"/>
        <v/>
      </c>
      <c r="O24" s="83" t="str">
        <f>IF(ISBLANK($B24),"",IF(ISERROR(VLOOKUP($B24,'2 Feedstock database'!$B$16:$N$29,10,FALSE)),"",VLOOKUP($B24,'2 Feedstock database'!$B$16:$N$29,10,FALSE)))</f>
        <v/>
      </c>
      <c r="P24" s="84" t="str">
        <f t="shared" si="3"/>
        <v/>
      </c>
      <c r="Q24" s="83" t="str">
        <f>IF(ISBLANK($B24),"",IF(ISERROR(VLOOKUP($B24,'2 Feedstock database'!$B$16:$N$29,11,FALSE)),"",VLOOKUP($B24,'2 Feedstock database'!$B$16:$N$29,11,FALSE)))</f>
        <v/>
      </c>
      <c r="R24" s="83" t="str">
        <f>IF(ISBLANK($B24),"",IF(ISERROR(VLOOKUP($B24,'2 Feedstock database'!$B$16:$N$29,12,FALSE)),"",VLOOKUP($B24,'2 Feedstock database'!$B$16:$N$29,12,FALSE)))</f>
        <v/>
      </c>
      <c r="S24" s="83" t="str">
        <f>IF(ISBLANK($B24),"",IF(ISERROR(VLOOKUP($B24,'2 Feedstock database'!$B$16:$N$29,13,FALSE)),"",VLOOKUP($B24,'2 Feedstock database'!$B$16:$N$29,13,FALSE)))</f>
        <v/>
      </c>
      <c r="T24" s="84" t="str">
        <f t="shared" si="1"/>
        <v/>
      </c>
      <c r="U24" s="84" t="str">
        <f t="shared" si="2"/>
        <v/>
      </c>
      <c r="V24" s="84" t="str">
        <f t="shared" si="4"/>
        <v/>
      </c>
      <c r="W24" s="85" t="str">
        <f t="shared" si="5"/>
        <v/>
      </c>
    </row>
    <row r="25" spans="2:23" ht="15.75">
      <c r="B25" s="58"/>
      <c r="C25" s="59"/>
      <c r="D25" s="81" t="str">
        <f>IF(ISBLANK($B25),"",IF(ISERROR(VLOOKUP($B25,'2 Feedstock database'!$B$16:$N$29,2,FALSE)),"",VLOOKUP($B25,'2 Feedstock database'!$B$16:$N$29,2,FALSE)))</f>
        <v/>
      </c>
      <c r="E25" s="82" t="str">
        <f>IF(ISBLANK($B25),"",IF(ISERROR(VLOOKUP($B25,'2 Feedstock database'!$B$16:$N$29,3,FALSE)),"",VLOOKUP($B25,'2 Feedstock database'!$B$16:$N$29,3,FALSE)))</f>
        <v/>
      </c>
      <c r="F25" s="150"/>
      <c r="G25" s="153"/>
      <c r="J25" s="135" t="str">
        <f>IF(ISBLANK($B25),"",IF(ISERROR(VLOOKUP($B25,'2 Feedstock database'!$B$16:$N$29,6,FALSE)),"",VLOOKUP($B25,'2 Feedstock database'!$B$16:$N$29,6,FALSE)))</f>
        <v/>
      </c>
      <c r="K25" s="83" t="str">
        <f>IF(ISBLANK($B25),"",IF(ISERROR(VLOOKUP($B25,'2 Feedstock database'!$B$16:$N$29,7,FALSE)),"",VLOOKUP($B25,'2 Feedstock database'!$B$16:$N$29,7,FALSE)))</f>
        <v/>
      </c>
      <c r="L25" s="83" t="str">
        <f>IF(ISBLANK($B25),"",IF(ISERROR(VLOOKUP($B25,'2 Feedstock database'!$B$16:$N$29,8,FALSE)),"",VLOOKUP($B25,'2 Feedstock database'!$B$16:$N$29,8,FALSE)))</f>
        <v/>
      </c>
      <c r="M25" s="83" t="str">
        <f>IF(ISBLANK($B25),"",IF(ISERROR(VLOOKUP($B25,'2 Feedstock database'!$B$16:$N$29,9,FALSE)),"",VLOOKUP($B25,'2 Feedstock database'!$B$16:$N$29,9,FALSE)))</f>
        <v/>
      </c>
      <c r="N25" s="83" t="str">
        <f t="shared" si="0"/>
        <v/>
      </c>
      <c r="O25" s="83" t="str">
        <f>IF(ISBLANK($B25),"",IF(ISERROR(VLOOKUP($B25,'2 Feedstock database'!$B$16:$N$29,10,FALSE)),"",VLOOKUP($B25,'2 Feedstock database'!$B$16:$N$29,10,FALSE)))</f>
        <v/>
      </c>
      <c r="P25" s="84" t="str">
        <f t="shared" si="3"/>
        <v/>
      </c>
      <c r="Q25" s="83" t="str">
        <f>IF(ISBLANK($B25),"",IF(ISERROR(VLOOKUP($B25,'2 Feedstock database'!$B$16:$N$29,11,FALSE)),"",VLOOKUP($B25,'2 Feedstock database'!$B$16:$N$29,11,FALSE)))</f>
        <v/>
      </c>
      <c r="R25" s="83" t="str">
        <f>IF(ISBLANK($B25),"",IF(ISERROR(VLOOKUP($B25,'2 Feedstock database'!$B$16:$N$29,12,FALSE)),"",VLOOKUP($B25,'2 Feedstock database'!$B$16:$N$29,12,FALSE)))</f>
        <v/>
      </c>
      <c r="S25" s="83" t="str">
        <f>IF(ISBLANK($B25),"",IF(ISERROR(VLOOKUP($B25,'2 Feedstock database'!$B$16:$N$29,13,FALSE)),"",VLOOKUP($B25,'2 Feedstock database'!$B$16:$N$29,13,FALSE)))</f>
        <v/>
      </c>
      <c r="T25" s="84" t="str">
        <f t="shared" si="1"/>
        <v/>
      </c>
      <c r="U25" s="84" t="str">
        <f t="shared" si="2"/>
        <v/>
      </c>
      <c r="V25" s="84" t="str">
        <f t="shared" si="4"/>
        <v/>
      </c>
      <c r="W25" s="85" t="str">
        <f t="shared" si="5"/>
        <v/>
      </c>
    </row>
    <row r="26" spans="2:23" ht="15.75">
      <c r="B26" s="58"/>
      <c r="C26" s="59"/>
      <c r="D26" s="81" t="str">
        <f>IF(ISBLANK($B26),"",IF(ISERROR(VLOOKUP($B26,'2 Feedstock database'!$B$16:$N$29,2,FALSE)),"",VLOOKUP($B26,'2 Feedstock database'!$B$16:$N$29,2,FALSE)))</f>
        <v/>
      </c>
      <c r="E26" s="82" t="str">
        <f>IF(ISBLANK($B26),"",IF(ISERROR(VLOOKUP($B26,'2 Feedstock database'!$B$16:$N$29,3,FALSE)),"",VLOOKUP($B26,'2 Feedstock database'!$B$16:$N$29,3,FALSE)))</f>
        <v/>
      </c>
      <c r="F26" s="150"/>
      <c r="G26" s="153"/>
      <c r="J26" s="135" t="str">
        <f>IF(ISBLANK($B26),"",IF(ISERROR(VLOOKUP($B26,'2 Feedstock database'!$B$16:$N$29,6,FALSE)),"",VLOOKUP($B26,'2 Feedstock database'!$B$16:$N$29,6,FALSE)))</f>
        <v/>
      </c>
      <c r="K26" s="83" t="str">
        <f>IF(ISBLANK($B26),"",IF(ISERROR(VLOOKUP($B26,'2 Feedstock database'!$B$16:$N$29,7,FALSE)),"",VLOOKUP($B26,'2 Feedstock database'!$B$16:$N$29,7,FALSE)))</f>
        <v/>
      </c>
      <c r="L26" s="83" t="str">
        <f>IF(ISBLANK($B26),"",IF(ISERROR(VLOOKUP($B26,'2 Feedstock database'!$B$16:$N$29,8,FALSE)),"",VLOOKUP($B26,'2 Feedstock database'!$B$16:$N$29,8,FALSE)))</f>
        <v/>
      </c>
      <c r="M26" s="83" t="str">
        <f>IF(ISBLANK($B26),"",IF(ISERROR(VLOOKUP($B26,'2 Feedstock database'!$B$16:$N$29,9,FALSE)),"",VLOOKUP($B26,'2 Feedstock database'!$B$16:$N$29,9,FALSE)))</f>
        <v/>
      </c>
      <c r="N26" s="83" t="str">
        <f t="shared" si="0"/>
        <v/>
      </c>
      <c r="O26" s="83" t="str">
        <f>IF(ISBLANK($B26),"",IF(ISERROR(VLOOKUP($B26,'2 Feedstock database'!$B$16:$N$29,10,FALSE)),"",VLOOKUP($B26,'2 Feedstock database'!$B$16:$N$29,10,FALSE)))</f>
        <v/>
      </c>
      <c r="P26" s="84" t="str">
        <f t="shared" si="3"/>
        <v/>
      </c>
      <c r="Q26" s="83" t="str">
        <f>IF(ISBLANK($B26),"",IF(ISERROR(VLOOKUP($B26,'2 Feedstock database'!$B$16:$N$29,11,FALSE)),"",VLOOKUP($B26,'2 Feedstock database'!$B$16:$N$29,11,FALSE)))</f>
        <v/>
      </c>
      <c r="R26" s="83" t="str">
        <f>IF(ISBLANK($B26),"",IF(ISERROR(VLOOKUP($B26,'2 Feedstock database'!$B$16:$N$29,12,FALSE)),"",VLOOKUP($B26,'2 Feedstock database'!$B$16:$N$29,12,FALSE)))</f>
        <v/>
      </c>
      <c r="S26" s="83" t="str">
        <f>IF(ISBLANK($B26),"",IF(ISERROR(VLOOKUP($B26,'2 Feedstock database'!$B$16:$N$29,13,FALSE)),"",VLOOKUP($B26,'2 Feedstock database'!$B$16:$N$29,13,FALSE)))</f>
        <v/>
      </c>
      <c r="T26" s="84" t="str">
        <f t="shared" si="1"/>
        <v/>
      </c>
      <c r="U26" s="84" t="str">
        <f t="shared" si="2"/>
        <v/>
      </c>
      <c r="V26" s="84" t="str">
        <f t="shared" si="4"/>
        <v/>
      </c>
      <c r="W26" s="85" t="str">
        <f t="shared" si="5"/>
        <v/>
      </c>
    </row>
    <row r="27" spans="2:23" ht="16.5" thickBot="1">
      <c r="B27" s="60"/>
      <c r="C27" s="61"/>
      <c r="D27" s="86" t="str">
        <f>IF(ISBLANK($B27),"",IF(ISERROR(VLOOKUP($B27,'2 Feedstock database'!$B$16:$N$29,2,FALSE)),"",VLOOKUP($B27,'2 Feedstock database'!$B$16:$N$29,2,FALSE)))</f>
        <v/>
      </c>
      <c r="E27" s="87" t="str">
        <f>IF(ISBLANK($B27),"",IF(ISERROR(VLOOKUP($B27,'2 Feedstock database'!$B$16:$N$29,3,FALSE)),"",VLOOKUP($B27,'2 Feedstock database'!$B$16:$N$29,3,FALSE)))</f>
        <v/>
      </c>
      <c r="F27" s="150"/>
      <c r="G27" s="153"/>
      <c r="J27" s="136" t="str">
        <f>IF(ISBLANK($B27),"",IF(ISERROR(VLOOKUP($B27,'2 Feedstock database'!$B$16:$N$29,6,FALSE)),"",VLOOKUP($B27,'2 Feedstock database'!$B$16:$N$29,6,FALSE)))</f>
        <v/>
      </c>
      <c r="K27" s="88" t="str">
        <f>IF(ISBLANK($B27),"",IF(ISERROR(VLOOKUP($B27,'2 Feedstock database'!$B$16:$N$29,7,FALSE)),"",VLOOKUP($B27,'2 Feedstock database'!$B$16:$N$29,7,FALSE)))</f>
        <v/>
      </c>
      <c r="L27" s="88" t="str">
        <f>IF(ISBLANK($B27),"",IF(ISERROR(VLOOKUP($B27,'2 Feedstock database'!$B$16:$N$29,8,FALSE)),"",VLOOKUP($B27,'2 Feedstock database'!$B$16:$N$29,8,FALSE)))</f>
        <v/>
      </c>
      <c r="M27" s="88" t="str">
        <f>IF(ISBLANK($B27),"",IF(ISERROR(VLOOKUP($B27,'2 Feedstock database'!$B$16:$N$29,9,FALSE)),"",VLOOKUP($B27,'2 Feedstock database'!$B$16:$N$29,9,FALSE)))</f>
        <v/>
      </c>
      <c r="N27" s="88" t="str">
        <f t="shared" si="0"/>
        <v/>
      </c>
      <c r="O27" s="88" t="str">
        <f>IF(ISBLANK($B27),"",IF(ISERROR(VLOOKUP($B27,'2 Feedstock database'!$B$16:$N$29,10,FALSE)),"",VLOOKUP($B27,'2 Feedstock database'!$B$16:$N$29,10,FALSE)))</f>
        <v/>
      </c>
      <c r="P27" s="89" t="str">
        <f t="shared" si="3"/>
        <v/>
      </c>
      <c r="Q27" s="88" t="str">
        <f>IF(ISBLANK($B27),"",IF(ISERROR(VLOOKUP($B27,'2 Feedstock database'!$B$16:$N$29,11,FALSE)),"",VLOOKUP($B27,'2 Feedstock database'!$B$16:$N$29,11,FALSE)))</f>
        <v/>
      </c>
      <c r="R27" s="88" t="str">
        <f>IF(ISBLANK($B27),"",IF(ISERROR(VLOOKUP($B27,'2 Feedstock database'!$B$16:$N$29,12,FALSE)),"",VLOOKUP($B27,'2 Feedstock database'!$B$16:$N$29,12,FALSE)))</f>
        <v/>
      </c>
      <c r="S27" s="88" t="str">
        <f>IF(ISBLANK($B27),"",IF(ISERROR(VLOOKUP($B27,'2 Feedstock database'!$B$16:$N$29,13,FALSE)),"",VLOOKUP($B27,'2 Feedstock database'!$B$16:$N$29,13,FALSE)))</f>
        <v/>
      </c>
      <c r="T27" s="89" t="str">
        <f t="shared" si="1"/>
        <v/>
      </c>
      <c r="U27" s="89" t="str">
        <f t="shared" si="2"/>
        <v/>
      </c>
      <c r="V27" s="89" t="str">
        <f t="shared" si="4"/>
        <v/>
      </c>
      <c r="W27" s="90" t="str">
        <f t="shared" si="5"/>
        <v/>
      </c>
    </row>
    <row r="28" spans="2:23">
      <c r="B28" s="13"/>
      <c r="C28" s="11"/>
      <c r="D28" s="12"/>
      <c r="E28" s="12"/>
      <c r="F28" s="12"/>
      <c r="G28" s="12"/>
      <c r="H28" s="12"/>
      <c r="I28" s="12"/>
      <c r="J28" s="12"/>
      <c r="K28" s="12"/>
      <c r="L28" s="14"/>
      <c r="M28" s="12"/>
      <c r="N28" s="14"/>
      <c r="O28" s="12"/>
      <c r="P28" s="12"/>
      <c r="Q28" s="12"/>
      <c r="R28" s="11"/>
      <c r="S28" s="11"/>
      <c r="T28" s="11"/>
      <c r="U28" s="11"/>
      <c r="V28" s="11"/>
      <c r="W28" s="11"/>
    </row>
    <row r="29" spans="2:23" ht="23.25">
      <c r="B29" s="220" t="s">
        <v>52</v>
      </c>
      <c r="C29" s="220"/>
      <c r="D29" s="12"/>
      <c r="E29" s="12"/>
      <c r="F29" s="12"/>
      <c r="G29" s="12"/>
      <c r="H29" s="12"/>
      <c r="I29" s="12"/>
      <c r="J29" s="12"/>
      <c r="K29" s="12"/>
      <c r="L29" s="14"/>
      <c r="M29" s="12"/>
      <c r="N29" s="14"/>
      <c r="O29" s="12"/>
      <c r="P29" s="12"/>
      <c r="Q29" s="12"/>
      <c r="R29" s="11"/>
      <c r="S29" s="11"/>
      <c r="T29" s="11"/>
      <c r="U29" s="11"/>
      <c r="V29" s="11"/>
      <c r="W29" s="11"/>
    </row>
    <row r="30" spans="2:23" ht="18.75">
      <c r="B30" s="92" t="s">
        <v>53</v>
      </c>
      <c r="C30" s="11"/>
      <c r="D30" s="12"/>
      <c r="E30" s="12"/>
      <c r="F30" s="12"/>
      <c r="G30" s="12"/>
      <c r="H30" s="12"/>
      <c r="I30" s="12"/>
      <c r="J30" s="12"/>
      <c r="K30" s="12"/>
      <c r="L30" s="14"/>
      <c r="M30" s="12"/>
      <c r="N30" s="14"/>
      <c r="O30" s="12"/>
      <c r="P30" s="12"/>
      <c r="Q30" s="12"/>
      <c r="R30" s="11"/>
      <c r="S30" s="11"/>
      <c r="T30" s="11"/>
      <c r="U30" s="11"/>
      <c r="V30" s="11"/>
      <c r="W30" s="11"/>
    </row>
    <row r="31" spans="2:23" ht="19.5" thickBot="1">
      <c r="B31" s="55"/>
      <c r="C31" s="11"/>
      <c r="D31" s="12"/>
      <c r="E31" s="12"/>
      <c r="F31" s="12"/>
      <c r="G31" s="12"/>
      <c r="H31" s="12"/>
      <c r="I31" s="12"/>
      <c r="J31" s="12"/>
      <c r="K31" s="12"/>
      <c r="L31" s="14"/>
      <c r="M31" s="12"/>
      <c r="N31" s="14"/>
      <c r="O31" s="12"/>
      <c r="P31" s="12"/>
      <c r="Q31" s="12"/>
      <c r="R31" s="11"/>
      <c r="S31" s="11"/>
      <c r="T31" s="11"/>
      <c r="U31" s="11"/>
      <c r="V31" s="11"/>
      <c r="W31" s="11"/>
    </row>
    <row r="32" spans="2:23" ht="16.5" customHeight="1">
      <c r="B32" s="201" t="s">
        <v>54</v>
      </c>
      <c r="C32" s="204" t="e">
        <f>IF(E76&gt;E84,CONCATENATE("Your mixture is too dry, you need to add water to have at least ",1-E84," moisture content. Current: ",ROUND(D76,3)),IF(E76&lt;D84,CONCATENATE("Your mixture is too wet, you should reduce moisture content or increase drier feedstock in the mixture to reach at least ",D84," Total Solids. Current: ",ROUND(E76,3)),"Optimal"))</f>
        <v>#DIV/0!</v>
      </c>
      <c r="D32" s="205"/>
      <c r="E32" s="205"/>
      <c r="F32" s="205"/>
      <c r="G32" s="205"/>
      <c r="H32" s="206"/>
      <c r="I32" s="155"/>
      <c r="J32" s="155"/>
      <c r="K32" s="12"/>
      <c r="L32" s="14"/>
      <c r="M32" s="12"/>
      <c r="N32" s="14"/>
      <c r="O32" s="12"/>
      <c r="P32" s="12"/>
      <c r="Q32" s="12"/>
      <c r="R32" s="11"/>
      <c r="S32" s="11"/>
      <c r="T32" s="11"/>
      <c r="U32" s="11"/>
      <c r="V32" s="11"/>
      <c r="W32" s="11"/>
    </row>
    <row r="33" spans="2:23" ht="16.5" customHeight="1">
      <c r="B33" s="202"/>
      <c r="C33" s="207"/>
      <c r="D33" s="208"/>
      <c r="E33" s="208"/>
      <c r="F33" s="208"/>
      <c r="G33" s="208"/>
      <c r="H33" s="209"/>
      <c r="I33" s="155"/>
      <c r="J33" s="155"/>
      <c r="K33" s="12"/>
      <c r="L33" s="14"/>
      <c r="M33" s="12"/>
      <c r="N33" s="14"/>
      <c r="O33" s="12"/>
      <c r="P33" s="12"/>
      <c r="Q33" s="12"/>
      <c r="R33" s="11"/>
      <c r="S33" s="11"/>
      <c r="T33" s="11"/>
      <c r="U33" s="11"/>
      <c r="V33" s="11"/>
      <c r="W33" s="11"/>
    </row>
    <row r="34" spans="2:23" ht="16.5" customHeight="1">
      <c r="B34" s="202"/>
      <c r="C34" s="210" t="e">
        <f>IF(D76&lt;(1-E84),CONCATENATE("Add ",ROUNDUP(((1-E84)*SUM(C17:C27)-SUM(T17:T27))/E84,0)," kg of water to your feedstock"),IF(D76&gt;(1-D84),CONCATENATE("Reduce water by ",ROUNDUP(((1-D84)*SUM(C17:C27)-SUM(T17:T27))/D84,0)," kg"),""))</f>
        <v>#DIV/0!</v>
      </c>
      <c r="D34" s="211"/>
      <c r="E34" s="211"/>
      <c r="F34" s="211"/>
      <c r="G34" s="211"/>
      <c r="H34" s="212"/>
      <c r="I34" s="156"/>
      <c r="J34" s="156"/>
      <c r="K34" s="12"/>
      <c r="L34" s="14"/>
      <c r="M34" s="12"/>
      <c r="N34" s="14"/>
      <c r="O34" s="12"/>
      <c r="P34" s="12"/>
      <c r="Q34" s="12"/>
      <c r="R34" s="11"/>
      <c r="S34" s="11"/>
      <c r="T34" s="11"/>
      <c r="U34" s="11"/>
      <c r="V34" s="11"/>
      <c r="W34" s="11"/>
    </row>
    <row r="35" spans="2:23" ht="16.5" customHeight="1" thickBot="1">
      <c r="B35" s="203"/>
      <c r="C35" s="213"/>
      <c r="D35" s="214"/>
      <c r="E35" s="214"/>
      <c r="F35" s="214"/>
      <c r="G35" s="214"/>
      <c r="H35" s="215"/>
      <c r="I35" s="156"/>
      <c r="J35" s="156"/>
      <c r="K35" s="12"/>
      <c r="L35" s="14"/>
      <c r="M35" s="12"/>
      <c r="N35" s="14"/>
      <c r="O35" s="12"/>
      <c r="P35" s="12"/>
      <c r="Q35" s="12"/>
      <c r="R35" s="11"/>
      <c r="S35" s="11"/>
      <c r="T35" s="11"/>
      <c r="U35" s="11"/>
      <c r="V35" s="11"/>
      <c r="W35" s="11"/>
    </row>
    <row r="36" spans="2:23" ht="16.5" customHeight="1" thickBot="1">
      <c r="B36" s="62"/>
      <c r="C36" s="63"/>
      <c r="D36" s="63"/>
      <c r="E36" s="63"/>
      <c r="F36" s="63"/>
      <c r="G36" s="63"/>
      <c r="H36" s="63"/>
      <c r="I36" s="64"/>
      <c r="J36" s="64"/>
      <c r="K36" s="12"/>
      <c r="L36" s="14"/>
      <c r="M36" s="12"/>
      <c r="N36" s="14"/>
      <c r="O36" s="12"/>
      <c r="P36" s="12"/>
      <c r="Q36" s="12"/>
      <c r="R36" s="11"/>
      <c r="S36" s="11"/>
      <c r="T36" s="11"/>
      <c r="U36" s="11"/>
      <c r="V36" s="11"/>
      <c r="W36" s="11"/>
    </row>
    <row r="37" spans="2:23" ht="18.600000000000001" customHeight="1">
      <c r="B37" s="201" t="s">
        <v>38</v>
      </c>
      <c r="C37" s="204" t="e">
        <f>IF(K76&gt;E86,CONCATENATE("Too high, increase nitrogen rich feedstock or reduce carbon rich feedstock to have a C/N ratio of less than ",E86,". Current: ",ROUND(K76,3)),IF(K76&lt;D86,CONCATENATE("Too low, increase carbon rich feedstock or reduce nitrogen rich feedstock to have a C/N ratio of more than ",D86,". Current: ",ROUND(K76,3)),IF(K76&gt;E85,"Acceptable",IF(K76&lt;D85,"Acceptable","Optimal"))))</f>
        <v>#DIV/0!</v>
      </c>
      <c r="D37" s="205"/>
      <c r="E37" s="205"/>
      <c r="F37" s="205"/>
      <c r="G37" s="205"/>
      <c r="H37" s="206"/>
      <c r="I37" s="155"/>
      <c r="J37" s="155"/>
      <c r="K37" s="12"/>
      <c r="L37" s="14"/>
      <c r="M37" s="12"/>
      <c r="N37" s="14"/>
      <c r="O37" s="12"/>
      <c r="P37" s="12"/>
      <c r="Q37" s="12"/>
      <c r="R37" s="11"/>
      <c r="S37" s="11"/>
      <c r="T37" s="11"/>
      <c r="U37" s="11"/>
      <c r="V37" s="11"/>
      <c r="W37" s="11"/>
    </row>
    <row r="38" spans="2:23" ht="18.600000000000001" customHeight="1" thickBot="1">
      <c r="B38" s="203"/>
      <c r="C38" s="216"/>
      <c r="D38" s="217"/>
      <c r="E38" s="217"/>
      <c r="F38" s="217"/>
      <c r="G38" s="217"/>
      <c r="H38" s="218"/>
      <c r="I38" s="155"/>
      <c r="J38" s="155"/>
      <c r="K38" s="12"/>
      <c r="L38" s="14"/>
      <c r="M38" s="12"/>
      <c r="N38" s="14"/>
      <c r="O38" s="12"/>
      <c r="P38" s="12"/>
      <c r="Q38" s="12"/>
      <c r="R38" s="11"/>
      <c r="S38" s="11"/>
      <c r="T38" s="11"/>
      <c r="U38" s="11"/>
      <c r="V38" s="11"/>
      <c r="W38" s="11"/>
    </row>
    <row r="39" spans="2:23" ht="15.75">
      <c r="B39" s="65"/>
      <c r="C39" s="66"/>
      <c r="D39" s="64"/>
      <c r="E39" s="64"/>
      <c r="F39" s="64"/>
      <c r="G39" s="64"/>
      <c r="H39" s="64"/>
      <c r="I39" s="64"/>
      <c r="J39" s="64"/>
      <c r="K39" s="12"/>
      <c r="L39" s="14"/>
      <c r="M39" s="12"/>
      <c r="N39" s="14"/>
      <c r="O39" s="12"/>
      <c r="P39" s="12"/>
      <c r="Q39" s="12"/>
      <c r="R39" s="11"/>
      <c r="S39" s="11"/>
      <c r="T39" s="11"/>
      <c r="U39" s="11"/>
      <c r="V39" s="11"/>
      <c r="W39" s="11"/>
    </row>
    <row r="40" spans="2:23" ht="16.5" thickBot="1">
      <c r="B40" s="241" t="s">
        <v>55</v>
      </c>
      <c r="C40" s="241"/>
      <c r="D40" s="241"/>
      <c r="E40" s="64"/>
      <c r="F40" s="64"/>
      <c r="G40" s="64"/>
      <c r="H40" s="64"/>
      <c r="I40" s="64"/>
      <c r="J40" s="64"/>
      <c r="K40" s="12"/>
      <c r="L40" s="14"/>
      <c r="M40" s="12"/>
      <c r="N40" s="14"/>
      <c r="O40" s="12"/>
      <c r="P40" s="12"/>
      <c r="Q40" s="12"/>
      <c r="R40" s="11"/>
      <c r="S40" s="11"/>
      <c r="T40" s="11"/>
      <c r="U40" s="11"/>
      <c r="V40" s="11"/>
      <c r="W40" s="11"/>
    </row>
    <row r="41" spans="2:23" ht="14.45" customHeight="1">
      <c r="B41" s="230" t="s">
        <v>56</v>
      </c>
      <c r="C41" s="243" t="e">
        <f>IF(AND(C32="Optimal",C37="Optimal"),"Yes",IF(AND(C32="Optimal",C37="Acceptable"),"Yes, C/N ratio acceptable but not optimal","No"))</f>
        <v>#DIV/0!</v>
      </c>
      <c r="D41" s="244"/>
      <c r="E41" s="43"/>
      <c r="F41" s="43"/>
      <c r="G41" s="43"/>
      <c r="H41" s="43"/>
      <c r="I41" s="43"/>
      <c r="J41" s="43"/>
      <c r="K41" s="12"/>
      <c r="L41" s="14"/>
      <c r="M41" s="12"/>
      <c r="N41" s="14"/>
      <c r="O41" s="12"/>
      <c r="P41" s="12"/>
      <c r="Q41" s="12"/>
      <c r="R41" s="11"/>
      <c r="S41" s="11"/>
      <c r="T41" s="11"/>
      <c r="U41" s="11"/>
      <c r="V41" s="11"/>
      <c r="W41" s="11"/>
    </row>
    <row r="42" spans="2:23" ht="14.45" customHeight="1">
      <c r="B42" s="231"/>
      <c r="C42" s="245"/>
      <c r="D42" s="246"/>
      <c r="E42" s="43"/>
      <c r="F42" s="43"/>
      <c r="G42" s="43"/>
      <c r="H42" s="43"/>
      <c r="I42" s="43"/>
      <c r="J42" s="43"/>
      <c r="K42" s="12"/>
      <c r="L42" s="14"/>
      <c r="M42" s="12"/>
      <c r="N42" s="14"/>
      <c r="O42" s="12"/>
      <c r="P42" s="12"/>
      <c r="Q42" s="12"/>
      <c r="R42" s="11"/>
      <c r="S42" s="11"/>
      <c r="T42" s="11"/>
      <c r="U42" s="11"/>
      <c r="V42" s="11"/>
      <c r="W42" s="11"/>
    </row>
    <row r="43" spans="2:23" ht="14.45" customHeight="1">
      <c r="B43" s="231"/>
      <c r="C43" s="245"/>
      <c r="D43" s="246"/>
      <c r="E43" s="43"/>
      <c r="F43" s="43"/>
      <c r="G43" s="43"/>
      <c r="H43" s="43"/>
      <c r="I43" s="43"/>
      <c r="J43" s="43"/>
      <c r="K43" s="12"/>
      <c r="L43" s="14"/>
      <c r="M43" s="12"/>
      <c r="N43" s="14"/>
      <c r="O43" s="12"/>
      <c r="P43" s="12"/>
      <c r="Q43" s="12"/>
      <c r="R43" s="11"/>
      <c r="S43" s="11"/>
      <c r="T43" s="11"/>
      <c r="U43" s="11"/>
      <c r="V43" s="11"/>
      <c r="W43" s="11"/>
    </row>
    <row r="44" spans="2:23" ht="14.45" customHeight="1" thickBot="1">
      <c r="B44" s="232"/>
      <c r="C44" s="247"/>
      <c r="D44" s="248"/>
      <c r="E44" s="43"/>
      <c r="F44" s="43"/>
      <c r="G44" s="43"/>
      <c r="H44" s="43"/>
      <c r="I44" s="43"/>
      <c r="J44" s="43"/>
      <c r="K44" s="12"/>
      <c r="L44" s="14"/>
      <c r="M44" s="12"/>
      <c r="N44" s="14"/>
      <c r="O44" s="12"/>
      <c r="P44" s="12"/>
      <c r="Q44" s="12"/>
      <c r="R44" s="11"/>
      <c r="S44" s="11"/>
      <c r="T44" s="11"/>
      <c r="U44" s="11"/>
      <c r="V44" s="11"/>
      <c r="W44" s="11"/>
    </row>
    <row r="45" spans="2:23">
      <c r="B45" s="3"/>
      <c r="L45" s="5"/>
      <c r="M45" s="5"/>
      <c r="N45" s="5"/>
      <c r="R45" s="4"/>
      <c r="S45" s="4"/>
      <c r="T45" s="4"/>
      <c r="U45" s="4"/>
      <c r="V45" s="4"/>
      <c r="W45" s="4"/>
    </row>
    <row r="46" spans="2:23" ht="23.25">
      <c r="B46" s="220" t="s">
        <v>57</v>
      </c>
      <c r="C46" s="220"/>
      <c r="L46" s="5"/>
      <c r="M46" s="5"/>
      <c r="N46" s="5"/>
      <c r="R46" s="4"/>
      <c r="S46" s="4"/>
      <c r="T46" s="4"/>
      <c r="U46" s="4"/>
      <c r="V46" s="4"/>
      <c r="W46" s="4"/>
    </row>
    <row r="47" spans="2:23" ht="23.25">
      <c r="B47" s="125" t="s">
        <v>58</v>
      </c>
      <c r="C47" s="139"/>
      <c r="D47" s="125"/>
      <c r="L47" s="5"/>
      <c r="M47" s="5"/>
      <c r="N47" s="5"/>
      <c r="R47" s="4"/>
      <c r="S47" s="4"/>
      <c r="T47" s="4"/>
      <c r="U47" s="4"/>
      <c r="V47" s="4"/>
      <c r="W47" s="4"/>
    </row>
    <row r="48" spans="2:23">
      <c r="L48" s="5"/>
      <c r="M48" s="5"/>
      <c r="N48" s="5"/>
      <c r="R48" s="4"/>
      <c r="S48" s="4"/>
      <c r="T48" s="4"/>
      <c r="U48" s="4"/>
      <c r="V48" s="4"/>
      <c r="W48" s="4"/>
    </row>
    <row r="49" spans="2:23" ht="18.75">
      <c r="B49" s="179" t="s">
        <v>59</v>
      </c>
      <c r="L49" s="5"/>
      <c r="M49" s="5"/>
      <c r="N49" s="5"/>
      <c r="R49" s="4"/>
      <c r="S49" s="4"/>
      <c r="T49" s="4"/>
      <c r="U49" s="4"/>
      <c r="V49" s="4"/>
      <c r="W49" s="4"/>
    </row>
    <row r="50" spans="2:23" ht="15.75" thickBot="1">
      <c r="C50" s="17"/>
      <c r="I50" s="17"/>
      <c r="R50" s="4"/>
      <c r="S50" s="4"/>
      <c r="T50" s="4"/>
      <c r="U50" s="4"/>
      <c r="V50" s="4"/>
      <c r="W50" s="4"/>
    </row>
    <row r="51" spans="2:23" ht="21">
      <c r="B51" s="195" t="s">
        <v>60</v>
      </c>
      <c r="C51" s="196"/>
      <c r="D51" s="196"/>
      <c r="E51" s="196"/>
      <c r="F51" s="196"/>
      <c r="G51" s="196"/>
      <c r="H51" s="197"/>
      <c r="T51" s="4"/>
      <c r="U51" s="4"/>
      <c r="V51" s="4"/>
      <c r="W51" s="4"/>
    </row>
    <row r="52" spans="2:23">
      <c r="B52" s="161"/>
      <c r="C52" s="138" t="s">
        <v>61</v>
      </c>
      <c r="D52" s="138" t="s">
        <v>62</v>
      </c>
      <c r="E52" s="162"/>
      <c r="F52" s="162"/>
      <c r="G52" s="162"/>
      <c r="H52" s="163"/>
      <c r="T52" s="4"/>
      <c r="U52" s="4"/>
      <c r="V52" s="4"/>
      <c r="W52" s="4"/>
    </row>
    <row r="53" spans="2:23">
      <c r="B53" s="137" t="s">
        <v>63</v>
      </c>
      <c r="C53" s="138">
        <f>IFERROR(VLOOKUP("Water",B17:C27,2,FALSE),0)</f>
        <v>0</v>
      </c>
      <c r="D53" s="164"/>
      <c r="E53" s="164" t="s">
        <v>64</v>
      </c>
      <c r="F53" s="162"/>
      <c r="G53" s="162"/>
      <c r="H53" s="163"/>
      <c r="T53" s="4"/>
      <c r="U53" s="4"/>
      <c r="V53" s="4"/>
      <c r="W53" s="4"/>
    </row>
    <row r="54" spans="2:23">
      <c r="B54" s="137" t="s">
        <v>65</v>
      </c>
      <c r="C54" s="138">
        <f>IF(C76=0,0,IF(ROUNDUP(C76/1000,0)=1,D106*ROUNDUP(C76/1000,0),D106+D107*(ROUNDUP(C76/1000,0)-1)))</f>
        <v>0</v>
      </c>
      <c r="D54" s="138">
        <f>IF(C76=0,0,IF(C76&lt;1000,E106*ROUNDUP(C76/1000,0),ROUNDUP(E106+E107*(C76-1000)/1000,0)))</f>
        <v>0</v>
      </c>
      <c r="E54" s="164" t="s">
        <v>66</v>
      </c>
      <c r="F54" s="162"/>
      <c r="G54" s="162"/>
      <c r="H54" s="163"/>
      <c r="T54" s="4"/>
      <c r="U54" s="4"/>
      <c r="V54" s="4"/>
      <c r="W54" s="4"/>
    </row>
    <row r="55" spans="2:23" ht="15.75" thickBot="1">
      <c r="B55" s="228"/>
      <c r="C55" s="229"/>
      <c r="D55" s="165"/>
      <c r="E55" s="165"/>
      <c r="F55" s="166"/>
      <c r="G55" s="167"/>
      <c r="H55" s="168"/>
      <c r="T55" s="4"/>
      <c r="U55" s="4"/>
      <c r="V55" s="4"/>
      <c r="W55" s="4"/>
    </row>
    <row r="56" spans="2:23" ht="21">
      <c r="B56" s="198" t="s">
        <v>67</v>
      </c>
      <c r="C56" s="199"/>
      <c r="D56" s="198" t="s">
        <v>68</v>
      </c>
      <c r="E56" s="200"/>
      <c r="F56" s="200"/>
      <c r="G56" s="200"/>
      <c r="H56" s="199"/>
      <c r="T56" s="4"/>
      <c r="U56" s="4"/>
      <c r="V56" s="4"/>
      <c r="W56" s="4"/>
    </row>
    <row r="57" spans="2:23" ht="30">
      <c r="B57" s="154" t="s">
        <v>69</v>
      </c>
      <c r="C57" s="103">
        <f>D93*J76/D94</f>
        <v>0</v>
      </c>
      <c r="D57" s="251" t="s">
        <v>70</v>
      </c>
      <c r="E57" s="252"/>
      <c r="F57" s="252"/>
      <c r="G57" s="169">
        <f>C57*1000/D101</f>
        <v>0</v>
      </c>
      <c r="H57" s="98"/>
      <c r="I57" s="3"/>
      <c r="J57" s="158"/>
      <c r="T57" s="4"/>
      <c r="U57" s="4"/>
      <c r="V57" s="4"/>
      <c r="W57" s="4"/>
    </row>
    <row r="58" spans="2:23">
      <c r="B58" s="154" t="s">
        <v>71</v>
      </c>
      <c r="C58" s="160">
        <f>C76-(C57*D97)</f>
        <v>0</v>
      </c>
      <c r="D58" s="251" t="s">
        <v>72</v>
      </c>
      <c r="E58" s="252"/>
      <c r="F58" s="252"/>
      <c r="G58" s="169">
        <f>G57/5</f>
        <v>0</v>
      </c>
      <c r="H58" s="98"/>
      <c r="I58" s="3"/>
      <c r="J58" s="158"/>
      <c r="T58" s="4"/>
      <c r="U58" s="4"/>
      <c r="V58" s="4"/>
      <c r="W58" s="4"/>
    </row>
    <row r="59" spans="2:23" ht="15.75" thickBot="1">
      <c r="B59" s="101"/>
      <c r="C59" s="170"/>
      <c r="D59" s="171"/>
      <c r="E59" s="102"/>
      <c r="F59" s="102"/>
      <c r="G59" s="102"/>
      <c r="H59" s="104"/>
      <c r="I59" s="3"/>
      <c r="J59" s="158"/>
      <c r="T59" s="4"/>
      <c r="U59" s="4"/>
      <c r="V59" s="4"/>
      <c r="W59" s="4"/>
    </row>
    <row r="60" spans="2:23" ht="21">
      <c r="B60" s="93"/>
      <c r="C60" s="94" t="s">
        <v>73</v>
      </c>
      <c r="D60" s="95"/>
      <c r="E60" s="95"/>
      <c r="F60" s="95"/>
      <c r="G60" s="95"/>
      <c r="H60" s="142"/>
      <c r="T60" s="4"/>
      <c r="U60" s="4"/>
      <c r="V60" s="4"/>
      <c r="W60" s="4"/>
    </row>
    <row r="61" spans="2:23" ht="14.45" customHeight="1">
      <c r="B61" s="251" t="s">
        <v>74</v>
      </c>
      <c r="C61" s="253">
        <f>C76/D95*D96</f>
        <v>0</v>
      </c>
      <c r="D61" s="131"/>
      <c r="E61" s="235" t="s">
        <v>75</v>
      </c>
      <c r="F61" s="235"/>
      <c r="G61" s="235"/>
      <c r="H61" s="236"/>
      <c r="T61" s="4"/>
      <c r="U61" s="4"/>
      <c r="V61" s="4"/>
      <c r="W61" s="4"/>
    </row>
    <row r="62" spans="2:23" ht="16.5" customHeight="1">
      <c r="B62" s="251"/>
      <c r="C62" s="253"/>
      <c r="D62" s="71"/>
      <c r="E62" s="235"/>
      <c r="F62" s="235"/>
      <c r="G62" s="235"/>
      <c r="H62" s="236"/>
      <c r="T62" s="4"/>
      <c r="U62" s="4"/>
      <c r="V62" s="4"/>
      <c r="W62" s="4"/>
    </row>
    <row r="63" spans="2:23">
      <c r="B63" s="96"/>
      <c r="C63" s="131" t="s">
        <v>61</v>
      </c>
      <c r="D63" s="131" t="s">
        <v>62</v>
      </c>
      <c r="E63" s="71"/>
      <c r="F63" s="71"/>
      <c r="G63" s="71"/>
      <c r="H63" s="98"/>
      <c r="T63" s="4"/>
      <c r="U63" s="4"/>
      <c r="V63" s="4"/>
      <c r="W63" s="4"/>
    </row>
    <row r="64" spans="2:23" ht="14.45" customHeight="1">
      <c r="B64" s="237" t="s">
        <v>76</v>
      </c>
      <c r="C64" s="238">
        <f>D108*C76/1000</f>
        <v>0</v>
      </c>
      <c r="D64" s="238">
        <f>E108*C76/1000</f>
        <v>0</v>
      </c>
      <c r="E64" s="239" t="s">
        <v>77</v>
      </c>
      <c r="F64" s="239"/>
      <c r="G64" s="239"/>
      <c r="H64" s="240"/>
      <c r="I64" s="157"/>
      <c r="J64" s="159"/>
      <c r="T64" s="4"/>
      <c r="U64" s="4"/>
      <c r="V64" s="4"/>
      <c r="W64" s="4"/>
    </row>
    <row r="65" spans="2:23" ht="14.45" customHeight="1">
      <c r="B65" s="237"/>
      <c r="C65" s="238"/>
      <c r="D65" s="238"/>
      <c r="E65" s="239"/>
      <c r="F65" s="239"/>
      <c r="G65" s="239"/>
      <c r="H65" s="240"/>
      <c r="I65" s="157"/>
      <c r="J65" s="159"/>
      <c r="T65" s="4"/>
      <c r="U65" s="4"/>
      <c r="V65" s="4"/>
      <c r="W65" s="4"/>
    </row>
    <row r="66" spans="2:23" ht="15.75" thickBot="1">
      <c r="B66" s="172"/>
      <c r="C66" s="167"/>
      <c r="D66" s="167"/>
      <c r="E66" s="173"/>
      <c r="F66" s="173"/>
      <c r="G66" s="173"/>
      <c r="H66" s="174"/>
      <c r="T66" s="4"/>
      <c r="U66" s="4"/>
      <c r="V66" s="4"/>
      <c r="W66" s="4"/>
    </row>
    <row r="67" spans="2:23" s="143" customFormat="1" ht="15.75" thickBot="1">
      <c r="N67" s="146"/>
      <c r="R67" s="147"/>
      <c r="S67" s="147"/>
      <c r="T67" s="147"/>
      <c r="U67" s="147"/>
      <c r="V67" s="147"/>
      <c r="W67" s="147"/>
    </row>
    <row r="68" spans="2:23" s="143" customFormat="1" ht="2.4500000000000002" customHeight="1" thickBot="1">
      <c r="I68" s="144"/>
      <c r="J68" s="145"/>
      <c r="N68" s="146"/>
      <c r="R68" s="147"/>
      <c r="S68" s="147"/>
      <c r="T68" s="147"/>
      <c r="U68" s="147"/>
      <c r="V68" s="147"/>
      <c r="W68" s="147"/>
    </row>
    <row r="69" spans="2:23" ht="15.75" thickBot="1">
      <c r="I69" s="15"/>
      <c r="J69" s="16"/>
      <c r="N69" s="5"/>
      <c r="R69" s="4"/>
      <c r="S69" s="4"/>
      <c r="T69" s="4"/>
      <c r="U69" s="4"/>
      <c r="V69" s="4"/>
      <c r="W69" s="4"/>
    </row>
    <row r="70" spans="2:23" ht="30" customHeight="1" thickBot="1">
      <c r="B70" s="249" t="s">
        <v>78</v>
      </c>
      <c r="C70" s="250"/>
      <c r="D70" s="250"/>
      <c r="E70" s="250"/>
      <c r="F70" s="250"/>
      <c r="G70" s="140"/>
      <c r="H70" s="133" t="s">
        <v>79</v>
      </c>
      <c r="I70" s="15"/>
      <c r="J70" s="16"/>
      <c r="N70" s="5"/>
      <c r="R70" s="4"/>
      <c r="S70" s="4"/>
      <c r="T70" s="4"/>
      <c r="U70" s="4"/>
      <c r="V70" s="4"/>
      <c r="W70" s="4"/>
    </row>
    <row r="71" spans="2:23">
      <c r="I71" s="15"/>
      <c r="J71" s="16"/>
      <c r="N71" s="5"/>
      <c r="R71" s="4"/>
      <c r="S71" s="4"/>
      <c r="T71" s="4"/>
      <c r="U71" s="4"/>
      <c r="V71" s="4"/>
      <c r="W71" s="4"/>
    </row>
    <row r="72" spans="2:23" ht="21">
      <c r="B72" s="254" t="s">
        <v>80</v>
      </c>
      <c r="C72" s="254"/>
      <c r="D72" s="254"/>
      <c r="E72" s="254"/>
      <c r="F72" s="254"/>
      <c r="G72" s="254"/>
      <c r="H72" s="254"/>
      <c r="I72" s="15"/>
      <c r="J72" s="16"/>
      <c r="N72" s="5"/>
      <c r="R72" s="4"/>
      <c r="S72" s="4"/>
      <c r="T72" s="4"/>
      <c r="U72" s="4"/>
      <c r="V72" s="4"/>
      <c r="W72" s="4"/>
    </row>
    <row r="73" spans="2:23" ht="15.75" thickBot="1">
      <c r="B73" s="3"/>
      <c r="L73" s="5"/>
      <c r="M73" s="5"/>
      <c r="N73" s="5"/>
      <c r="R73" s="4"/>
      <c r="S73" s="4"/>
      <c r="T73" s="4"/>
      <c r="U73" s="4"/>
      <c r="V73" s="4"/>
      <c r="W73" s="4"/>
    </row>
    <row r="74" spans="2:23">
      <c r="B74" s="105"/>
      <c r="C74" s="106"/>
      <c r="D74" s="129" t="s">
        <v>81</v>
      </c>
      <c r="E74" s="129" t="s">
        <v>82</v>
      </c>
      <c r="F74" s="129" t="s">
        <v>83</v>
      </c>
      <c r="G74" s="129"/>
      <c r="H74" s="129" t="s">
        <v>84</v>
      </c>
      <c r="I74" s="129" t="s">
        <v>85</v>
      </c>
      <c r="J74" s="129" t="s">
        <v>30</v>
      </c>
      <c r="K74" s="107"/>
      <c r="R74" s="4"/>
      <c r="S74" s="4"/>
      <c r="T74" s="4"/>
      <c r="U74" s="4"/>
      <c r="V74" s="4"/>
      <c r="W74" s="4"/>
    </row>
    <row r="75" spans="2:23">
      <c r="B75" s="96"/>
      <c r="C75" s="128" t="s">
        <v>22</v>
      </c>
      <c r="D75" s="128" t="s">
        <v>86</v>
      </c>
      <c r="E75" s="128" t="s">
        <v>87</v>
      </c>
      <c r="F75" s="128" t="s">
        <v>88</v>
      </c>
      <c r="G75" s="128"/>
      <c r="H75" s="128" t="s">
        <v>89</v>
      </c>
      <c r="I75" s="128" t="s">
        <v>43</v>
      </c>
      <c r="J75" s="128" t="s">
        <v>45</v>
      </c>
      <c r="K75" s="130" t="s">
        <v>38</v>
      </c>
      <c r="O75" s="5"/>
      <c r="R75" s="4"/>
      <c r="S75" s="4"/>
      <c r="T75" s="4"/>
      <c r="U75" s="4"/>
      <c r="V75" s="4"/>
      <c r="W75" s="4"/>
    </row>
    <row r="76" spans="2:23" ht="15.75" thickBot="1">
      <c r="B76" s="127" t="s">
        <v>90</v>
      </c>
      <c r="C76" s="108">
        <f>SUM(C17:C27)</f>
        <v>0</v>
      </c>
      <c r="D76" s="109" t="e">
        <f>SUM(T17:T27)/C76</f>
        <v>#DIV/0!</v>
      </c>
      <c r="E76" s="109" t="e">
        <f>SUM(U17:U27)/C76</f>
        <v>#DIV/0!</v>
      </c>
      <c r="F76" s="109" t="e">
        <f>SUM(V17:V27)/D76</f>
        <v>#DIV/0!</v>
      </c>
      <c r="G76" s="109"/>
      <c r="H76" s="110"/>
      <c r="I76" s="111">
        <f>SUM(N17:N27)</f>
        <v>0</v>
      </c>
      <c r="J76" s="111">
        <f>SUM(P17:P27)</f>
        <v>0</v>
      </c>
      <c r="K76" s="112" t="e">
        <f>SUM(V17:V27)/SUM(W17:W27)</f>
        <v>#DIV/0!</v>
      </c>
      <c r="O76" s="5"/>
      <c r="R76" s="4"/>
      <c r="S76" s="4"/>
      <c r="T76" s="4"/>
      <c r="U76" s="4"/>
      <c r="V76" s="4"/>
      <c r="W76" s="4"/>
    </row>
    <row r="77" spans="2:23" ht="15.75" thickBot="1">
      <c r="B77" s="3"/>
      <c r="L77" s="5"/>
      <c r="M77" s="5"/>
      <c r="N77" s="5"/>
      <c r="O77" s="5"/>
      <c r="R77" s="4"/>
      <c r="S77" s="4"/>
      <c r="T77" s="4"/>
      <c r="U77" s="4"/>
      <c r="V77" s="4"/>
      <c r="W77" s="4"/>
    </row>
    <row r="78" spans="2:23" ht="15.75">
      <c r="B78" s="105"/>
      <c r="C78" s="113" t="s">
        <v>91</v>
      </c>
      <c r="D78" s="114"/>
      <c r="E78" s="115"/>
      <c r="F78" s="114"/>
      <c r="G78" s="114"/>
      <c r="H78" s="114"/>
      <c r="I78" s="114"/>
      <c r="J78" s="114"/>
      <c r="K78" s="114"/>
      <c r="L78" s="114"/>
      <c r="M78" s="116"/>
      <c r="O78" s="5"/>
    </row>
    <row r="79" spans="2:23" ht="15.75">
      <c r="B79" s="96"/>
      <c r="C79" s="181" t="s">
        <v>92</v>
      </c>
      <c r="D79" s="71"/>
      <c r="E79" s="97"/>
      <c r="F79" s="71"/>
      <c r="G79" s="71"/>
      <c r="H79" s="71"/>
      <c r="I79" s="71"/>
      <c r="J79" s="71"/>
      <c r="K79" s="71"/>
      <c r="L79" s="71"/>
      <c r="M79" s="98"/>
      <c r="O79" s="5"/>
    </row>
    <row r="80" spans="2:23" ht="15.75">
      <c r="B80" s="96"/>
      <c r="C80" s="117"/>
      <c r="D80" s="71"/>
      <c r="E80" s="97"/>
      <c r="F80" s="71"/>
      <c r="G80" s="71"/>
      <c r="H80" s="71"/>
      <c r="I80" s="71"/>
      <c r="J80" s="71"/>
      <c r="K80" s="71"/>
      <c r="L80" s="71"/>
      <c r="M80" s="98"/>
      <c r="O80" s="5"/>
    </row>
    <row r="81" spans="2:13">
      <c r="B81" s="96"/>
      <c r="C81" s="97"/>
      <c r="D81" s="71"/>
      <c r="E81" s="71"/>
      <c r="F81" s="71"/>
      <c r="G81" s="71"/>
      <c r="H81" s="97" t="s">
        <v>93</v>
      </c>
      <c r="I81" s="71"/>
      <c r="J81" s="71"/>
      <c r="K81" s="71"/>
      <c r="L81" s="71"/>
      <c r="M81" s="98"/>
    </row>
    <row r="82" spans="2:13">
      <c r="B82" s="96"/>
      <c r="C82" s="180" t="s">
        <v>94</v>
      </c>
      <c r="D82" s="99"/>
      <c r="E82" s="71"/>
      <c r="F82" s="71"/>
      <c r="G82" s="71"/>
      <c r="H82" s="71"/>
      <c r="I82" s="71"/>
      <c r="J82" s="71"/>
      <c r="K82" s="71"/>
      <c r="L82" s="71"/>
      <c r="M82" s="98"/>
    </row>
    <row r="83" spans="2:13">
      <c r="B83" s="96"/>
      <c r="C83" s="71"/>
      <c r="D83" s="99" t="s">
        <v>95</v>
      </c>
      <c r="E83" s="71" t="s">
        <v>96</v>
      </c>
      <c r="F83" s="71"/>
      <c r="G83" s="71"/>
      <c r="H83" s="71"/>
      <c r="I83" s="71"/>
      <c r="J83" s="71"/>
      <c r="K83" s="71"/>
      <c r="L83" s="71"/>
      <c r="M83" s="98"/>
    </row>
    <row r="84" spans="2:13">
      <c r="B84" s="96"/>
      <c r="C84" s="71" t="s">
        <v>97</v>
      </c>
      <c r="D84" s="8">
        <v>0.05</v>
      </c>
      <c r="E84" s="8">
        <v>0.15</v>
      </c>
      <c r="F84" s="71"/>
      <c r="G84" s="71"/>
      <c r="H84" s="71" t="s">
        <v>98</v>
      </c>
      <c r="I84" s="71"/>
      <c r="J84" s="71"/>
      <c r="K84" s="71"/>
      <c r="L84" s="71"/>
      <c r="M84" s="98"/>
    </row>
    <row r="85" spans="2:13">
      <c r="B85" s="96"/>
      <c r="C85" s="71" t="s">
        <v>99</v>
      </c>
      <c r="D85" s="8">
        <v>16</v>
      </c>
      <c r="E85" s="8">
        <v>35</v>
      </c>
      <c r="F85" s="71"/>
      <c r="G85" s="71"/>
      <c r="H85" s="71" t="s">
        <v>100</v>
      </c>
      <c r="I85" s="71"/>
      <c r="J85" s="71"/>
      <c r="K85" s="71"/>
      <c r="L85" s="71"/>
      <c r="M85" s="98"/>
    </row>
    <row r="86" spans="2:13">
      <c r="B86" s="96"/>
      <c r="C86" s="71" t="s">
        <v>101</v>
      </c>
      <c r="D86" s="8">
        <v>6</v>
      </c>
      <c r="E86" s="8">
        <v>45</v>
      </c>
      <c r="F86" s="71"/>
      <c r="G86" s="71"/>
      <c r="H86" s="71" t="s">
        <v>102</v>
      </c>
      <c r="I86" s="71"/>
      <c r="J86" s="71"/>
      <c r="K86" s="71"/>
      <c r="L86" s="71"/>
      <c r="M86" s="98"/>
    </row>
    <row r="87" spans="2:13">
      <c r="B87" s="96"/>
      <c r="C87" s="71"/>
      <c r="D87" s="71"/>
      <c r="E87" s="71"/>
      <c r="F87" s="71"/>
      <c r="G87" s="71"/>
      <c r="H87" s="71"/>
      <c r="I87" s="71"/>
      <c r="J87" s="71"/>
      <c r="K87" s="71"/>
      <c r="L87" s="71"/>
      <c r="M87" s="98"/>
    </row>
    <row r="88" spans="2:13" ht="15" customHeight="1">
      <c r="B88" s="96"/>
      <c r="C88" s="71" t="s">
        <v>103</v>
      </c>
      <c r="D88" s="71">
        <v>6.7</v>
      </c>
      <c r="E88" s="71">
        <v>7.5</v>
      </c>
      <c r="F88" s="71"/>
      <c r="G88" s="71"/>
      <c r="H88" s="226" t="s">
        <v>104</v>
      </c>
      <c r="I88" s="226"/>
      <c r="J88" s="226"/>
      <c r="K88" s="226"/>
      <c r="L88" s="226"/>
      <c r="M88" s="227"/>
    </row>
    <row r="89" spans="2:13">
      <c r="B89" s="96"/>
      <c r="C89" s="71" t="s">
        <v>105</v>
      </c>
      <c r="D89" s="71">
        <v>15</v>
      </c>
      <c r="E89" s="71">
        <v>40</v>
      </c>
      <c r="F89" s="100"/>
      <c r="G89" s="100"/>
      <c r="H89" s="233" t="s">
        <v>106</v>
      </c>
      <c r="I89" s="233"/>
      <c r="J89" s="118"/>
      <c r="K89" s="118"/>
      <c r="L89" s="118"/>
      <c r="M89" s="119"/>
    </row>
    <row r="90" spans="2:13">
      <c r="B90" s="96"/>
      <c r="C90" s="71"/>
      <c r="D90" s="71"/>
      <c r="E90" s="71"/>
      <c r="F90" s="71"/>
      <c r="G90" s="71"/>
      <c r="H90" s="71"/>
      <c r="I90" s="71"/>
      <c r="J90" s="71"/>
      <c r="K90" s="71"/>
      <c r="L90" s="71"/>
      <c r="M90" s="98"/>
    </row>
    <row r="91" spans="2:13">
      <c r="B91" s="96"/>
      <c r="C91" s="97" t="s">
        <v>107</v>
      </c>
      <c r="D91" s="71"/>
      <c r="E91" s="71"/>
      <c r="F91" s="71"/>
      <c r="G91" s="71"/>
      <c r="H91" s="71"/>
      <c r="I91" s="71"/>
      <c r="J91" s="71"/>
      <c r="K91" s="71"/>
      <c r="L91" s="71"/>
      <c r="M91" s="98"/>
    </row>
    <row r="92" spans="2:13">
      <c r="B92" s="96"/>
      <c r="C92" s="71"/>
      <c r="D92" s="71"/>
      <c r="E92" s="71"/>
      <c r="F92" s="71"/>
      <c r="G92" s="71"/>
      <c r="H92" s="71"/>
      <c r="I92" s="71"/>
      <c r="J92" s="71"/>
      <c r="K92" s="71"/>
      <c r="L92" s="71"/>
      <c r="M92" s="98"/>
    </row>
    <row r="93" spans="2:13" ht="42.95" customHeight="1">
      <c r="B93" s="96"/>
      <c r="C93" s="120" t="s">
        <v>108</v>
      </c>
      <c r="D93" s="40">
        <v>0.6</v>
      </c>
      <c r="E93" s="71"/>
      <c r="F93" s="71"/>
      <c r="G93" s="71"/>
      <c r="H93" s="233" t="s">
        <v>109</v>
      </c>
      <c r="I93" s="233"/>
      <c r="J93" s="233"/>
      <c r="K93" s="233"/>
      <c r="L93" s="233"/>
      <c r="M93" s="234"/>
    </row>
    <row r="94" spans="2:13" ht="32.25">
      <c r="B94" s="96"/>
      <c r="C94" s="121" t="s">
        <v>110</v>
      </c>
      <c r="D94" s="7">
        <v>0.55000000000000004</v>
      </c>
      <c r="E94" s="71"/>
      <c r="F94" s="71"/>
      <c r="G94" s="71"/>
      <c r="H94" s="71" t="s">
        <v>111</v>
      </c>
      <c r="I94" s="71"/>
      <c r="J94" s="71"/>
      <c r="K94" s="71"/>
      <c r="L94" s="71"/>
      <c r="M94" s="98"/>
    </row>
    <row r="95" spans="2:13">
      <c r="B95" s="96"/>
      <c r="C95" s="71" t="s">
        <v>112</v>
      </c>
      <c r="D95" s="7">
        <v>1</v>
      </c>
      <c r="E95" s="71"/>
      <c r="F95" s="71"/>
      <c r="G95" s="71"/>
      <c r="H95" s="71"/>
      <c r="I95" s="71"/>
      <c r="J95" s="71"/>
      <c r="K95" s="71"/>
      <c r="L95" s="71"/>
      <c r="M95" s="98"/>
    </row>
    <row r="96" spans="2:13">
      <c r="B96" s="96"/>
      <c r="C96" s="71" t="s">
        <v>113</v>
      </c>
      <c r="D96" s="2">
        <v>30</v>
      </c>
      <c r="E96" s="71"/>
      <c r="F96" s="71"/>
      <c r="G96" s="71"/>
      <c r="H96" s="71" t="s">
        <v>114</v>
      </c>
      <c r="I96" s="71"/>
      <c r="J96" s="71"/>
      <c r="K96" s="71"/>
      <c r="L96" s="71"/>
      <c r="M96" s="98"/>
    </row>
    <row r="97" spans="2:13">
      <c r="B97" s="96"/>
      <c r="C97" s="71" t="s">
        <v>115</v>
      </c>
      <c r="D97" s="2">
        <v>1.1499999999999999</v>
      </c>
      <c r="E97" s="71"/>
      <c r="F97" s="71"/>
      <c r="G97" s="71"/>
      <c r="H97" s="71" t="s">
        <v>116</v>
      </c>
      <c r="I97" s="71"/>
      <c r="J97" s="71"/>
      <c r="K97" s="71"/>
      <c r="L97" s="71"/>
      <c r="M97" s="98"/>
    </row>
    <row r="98" spans="2:13">
      <c r="B98" s="96"/>
      <c r="C98" s="71"/>
      <c r="D98" s="71"/>
      <c r="E98" s="71"/>
      <c r="F98" s="71"/>
      <c r="G98" s="71"/>
      <c r="H98" s="71"/>
      <c r="I98" s="71"/>
      <c r="J98" s="71"/>
      <c r="K98" s="71"/>
      <c r="L98" s="71"/>
      <c r="M98" s="98"/>
    </row>
    <row r="99" spans="2:13">
      <c r="B99" s="96"/>
      <c r="C99" s="97" t="s">
        <v>117</v>
      </c>
      <c r="D99" s="71"/>
      <c r="E99" s="71"/>
      <c r="F99" s="71"/>
      <c r="G99" s="71"/>
      <c r="H99" s="71"/>
      <c r="I99" s="71"/>
      <c r="J99" s="71"/>
      <c r="K99" s="71"/>
      <c r="L99" s="71"/>
      <c r="M99" s="98"/>
    </row>
    <row r="100" spans="2:13">
      <c r="B100" s="96"/>
      <c r="C100" s="121"/>
      <c r="D100" s="71"/>
      <c r="E100" s="71"/>
      <c r="F100" s="71"/>
      <c r="G100" s="71"/>
      <c r="H100" s="71"/>
      <c r="I100" s="71"/>
      <c r="J100" s="71"/>
      <c r="K100" s="71"/>
      <c r="L100" s="71"/>
      <c r="M100" s="98"/>
    </row>
    <row r="101" spans="2:13" ht="30">
      <c r="B101" s="96"/>
      <c r="C101" s="121" t="s">
        <v>118</v>
      </c>
      <c r="D101" s="2">
        <f>AVERAGE(200,450)</f>
        <v>325</v>
      </c>
      <c r="E101" s="122"/>
      <c r="F101" s="71"/>
      <c r="G101" s="71"/>
      <c r="H101" s="71" t="s">
        <v>119</v>
      </c>
      <c r="I101" s="71"/>
      <c r="J101" s="71"/>
      <c r="K101" s="71"/>
      <c r="L101" s="71"/>
      <c r="M101" s="98"/>
    </row>
    <row r="102" spans="2:13">
      <c r="B102" s="96"/>
      <c r="C102" s="121"/>
      <c r="D102" s="122"/>
      <c r="E102" s="122"/>
      <c r="F102" s="71"/>
      <c r="G102" s="71"/>
      <c r="H102" s="71"/>
      <c r="I102" s="71"/>
      <c r="J102" s="71"/>
      <c r="K102" s="71"/>
      <c r="L102" s="71"/>
      <c r="M102" s="98"/>
    </row>
    <row r="103" spans="2:13">
      <c r="B103" s="96"/>
      <c r="C103" s="97" t="s">
        <v>120</v>
      </c>
      <c r="D103" s="122"/>
      <c r="E103" s="122"/>
      <c r="F103" s="71"/>
      <c r="G103" s="71"/>
      <c r="H103" s="71"/>
      <c r="I103" s="71"/>
      <c r="J103" s="71"/>
      <c r="K103" s="71"/>
      <c r="L103" s="71"/>
      <c r="M103" s="98"/>
    </row>
    <row r="104" spans="2:13">
      <c r="B104" s="96"/>
      <c r="C104" s="71"/>
      <c r="D104" s="71"/>
      <c r="E104" s="71"/>
      <c r="F104" s="71"/>
      <c r="G104" s="71"/>
      <c r="H104" s="71"/>
      <c r="I104" s="71"/>
      <c r="J104" s="71"/>
      <c r="K104" s="71"/>
      <c r="L104" s="71"/>
      <c r="M104" s="98"/>
    </row>
    <row r="105" spans="2:13">
      <c r="B105" s="96"/>
      <c r="C105" s="71"/>
      <c r="D105" s="71" t="s">
        <v>61</v>
      </c>
      <c r="E105" s="71" t="s">
        <v>62</v>
      </c>
      <c r="F105" s="71"/>
      <c r="G105" s="71"/>
      <c r="H105" s="71"/>
      <c r="I105" s="71"/>
      <c r="J105" s="71"/>
      <c r="K105" s="71"/>
      <c r="L105" s="71"/>
      <c r="M105" s="98"/>
    </row>
    <row r="106" spans="2:13" ht="30">
      <c r="B106" s="96"/>
      <c r="C106" s="121" t="s">
        <v>121</v>
      </c>
      <c r="D106" s="2">
        <v>1</v>
      </c>
      <c r="E106" s="2">
        <v>1</v>
      </c>
      <c r="F106" s="71"/>
      <c r="G106" s="71"/>
      <c r="H106" s="71" t="s">
        <v>114</v>
      </c>
      <c r="I106" s="71"/>
      <c r="J106" s="71"/>
      <c r="K106" s="71"/>
      <c r="L106" s="71"/>
      <c r="M106" s="98"/>
    </row>
    <row r="107" spans="2:13" ht="30">
      <c r="B107" s="96"/>
      <c r="C107" s="121" t="s">
        <v>122</v>
      </c>
      <c r="D107" s="2">
        <v>1</v>
      </c>
      <c r="E107" s="2">
        <v>2</v>
      </c>
      <c r="F107" s="71"/>
      <c r="G107" s="71"/>
      <c r="H107" s="225" t="s">
        <v>123</v>
      </c>
      <c r="I107" s="225"/>
      <c r="J107" s="225"/>
      <c r="K107" s="71"/>
      <c r="L107" s="71"/>
      <c r="M107" s="98"/>
    </row>
    <row r="108" spans="2:13" ht="47.25">
      <c r="B108" s="96"/>
      <c r="C108" s="183" t="s">
        <v>124</v>
      </c>
      <c r="D108" s="9">
        <v>100</v>
      </c>
      <c r="E108" s="10">
        <v>530</v>
      </c>
      <c r="F108" s="71"/>
      <c r="G108" s="71"/>
      <c r="H108" s="71" t="s">
        <v>114</v>
      </c>
      <c r="I108" s="71"/>
      <c r="J108" s="71"/>
      <c r="K108" s="71"/>
      <c r="L108" s="71"/>
      <c r="M108" s="98"/>
    </row>
    <row r="109" spans="2:13" ht="30">
      <c r="B109" s="96"/>
      <c r="C109" s="121" t="s">
        <v>125</v>
      </c>
      <c r="D109" s="2">
        <v>30</v>
      </c>
      <c r="E109" s="2">
        <v>55</v>
      </c>
      <c r="F109" s="71"/>
      <c r="G109" s="71"/>
      <c r="H109" s="71" t="s">
        <v>114</v>
      </c>
      <c r="I109" s="71"/>
      <c r="J109" s="71"/>
      <c r="K109" s="71"/>
      <c r="L109" s="71"/>
      <c r="M109" s="98"/>
    </row>
    <row r="110" spans="2:13">
      <c r="B110" s="96"/>
      <c r="C110" s="121"/>
      <c r="D110" s="99"/>
      <c r="E110" s="99"/>
      <c r="F110" s="122"/>
      <c r="G110" s="122"/>
      <c r="H110" s="71"/>
      <c r="I110" s="71"/>
      <c r="J110" s="71"/>
      <c r="K110" s="71"/>
      <c r="L110" s="71"/>
      <c r="M110" s="98"/>
    </row>
    <row r="111" spans="2:13" ht="15.75" thickBot="1">
      <c r="B111" s="101"/>
      <c r="C111" s="102"/>
      <c r="D111" s="102"/>
      <c r="E111" s="102"/>
      <c r="F111" s="102"/>
      <c r="G111" s="102"/>
      <c r="H111" s="102"/>
      <c r="I111" s="102"/>
      <c r="J111" s="102"/>
      <c r="K111" s="102"/>
      <c r="L111" s="102"/>
      <c r="M111" s="104"/>
    </row>
    <row r="112" spans="2:13"/>
    <row r="141" spans="3:3" hidden="1">
      <c r="C141" s="5"/>
    </row>
    <row r="177"/>
    <row r="178"/>
    <row r="179"/>
    <row r="180"/>
    <row r="181"/>
  </sheetData>
  <mergeCells count="37">
    <mergeCell ref="B40:D40"/>
    <mergeCell ref="D15:E15"/>
    <mergeCell ref="C41:D44"/>
    <mergeCell ref="H89:I89"/>
    <mergeCell ref="B70:F70"/>
    <mergeCell ref="D57:F57"/>
    <mergeCell ref="D58:F58"/>
    <mergeCell ref="B61:B62"/>
    <mergeCell ref="C61:C62"/>
    <mergeCell ref="B72:H72"/>
    <mergeCell ref="H107:J107"/>
    <mergeCell ref="H88:M88"/>
    <mergeCell ref="B55:C55"/>
    <mergeCell ref="B41:B44"/>
    <mergeCell ref="H93:M93"/>
    <mergeCell ref="B46:C46"/>
    <mergeCell ref="E61:H62"/>
    <mergeCell ref="B64:B65"/>
    <mergeCell ref="C64:C65"/>
    <mergeCell ref="D64:D65"/>
    <mergeCell ref="E64:H65"/>
    <mergeCell ref="B9:I9"/>
    <mergeCell ref="B3:D5"/>
    <mergeCell ref="B2:D2"/>
    <mergeCell ref="B51:H51"/>
    <mergeCell ref="B56:C56"/>
    <mergeCell ref="D56:H56"/>
    <mergeCell ref="B32:B35"/>
    <mergeCell ref="B37:B38"/>
    <mergeCell ref="C32:H33"/>
    <mergeCell ref="C34:H35"/>
    <mergeCell ref="C37:H38"/>
    <mergeCell ref="B7:D8"/>
    <mergeCell ref="B11:C11"/>
    <mergeCell ref="B29:C29"/>
    <mergeCell ref="B15:B16"/>
    <mergeCell ref="C15:C16"/>
  </mergeCells>
  <conditionalFormatting sqref="C41">
    <cfRule type="cellIs" dxfId="5" priority="8" operator="equal">
      <formula>"No"</formula>
    </cfRule>
  </conditionalFormatting>
  <conditionalFormatting sqref="C37 I37:J38">
    <cfRule type="containsText" dxfId="4" priority="6" operator="containsText" text="Optimal">
      <formula>NOT(ISERROR(SEARCH("Optimal",C37)))</formula>
    </cfRule>
    <cfRule type="containsText" dxfId="3" priority="7" operator="containsText" text="Acceptable">
      <formula>NOT(ISERROR(SEARCH("Acceptable",C37)))</formula>
    </cfRule>
  </conditionalFormatting>
  <conditionalFormatting sqref="C32 I32:J33">
    <cfRule type="containsText" dxfId="2" priority="5" operator="containsText" text="Optimal">
      <formula>NOT(ISERROR(SEARCH("Optimal",C32)))</formula>
    </cfRule>
  </conditionalFormatting>
  <conditionalFormatting sqref="J15:W27">
    <cfRule type="expression" dxfId="1" priority="4">
      <formula>$H$70="No"</formula>
    </cfRule>
  </conditionalFormatting>
  <conditionalFormatting sqref="B72:M111">
    <cfRule type="expression" dxfId="0" priority="1">
      <formula>$H$70="No"</formula>
    </cfRule>
  </conditionalFormatting>
  <dataValidations count="1">
    <dataValidation type="list" allowBlank="1" showInputMessage="1" showErrorMessage="1" sqref="H70" xr:uid="{00000000-0002-0000-0100-000000000000}">
      <formula1>"Yes,No"</formula1>
    </dataValidation>
  </dataValidations>
  <pageMargins left="0.7" right="0.7" top="0.75" bottom="0.75" header="0.3" footer="0.3"/>
  <pageSetup paperSize="9" scale="2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'2 Feedstock database'!$B$16:$B$35</xm:f>
          </x14:formula1>
          <xm:sqref>B17:B27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Y116"/>
  <sheetViews>
    <sheetView zoomScale="55" zoomScaleNormal="55" workbookViewId="0">
      <selection activeCell="B4" sqref="B4"/>
    </sheetView>
  </sheetViews>
  <sheetFormatPr defaultColWidth="0" defaultRowHeight="15" zeroHeight="1"/>
  <cols>
    <col min="1" max="1" width="9.140625" style="1" customWidth="1"/>
    <col min="2" max="2" width="24" style="1" customWidth="1"/>
    <col min="3" max="3" width="12.85546875" style="1" bestFit="1" customWidth="1"/>
    <col min="4" max="4" width="13.85546875" style="1" bestFit="1" customWidth="1"/>
    <col min="5" max="5" width="14.85546875" style="1" hidden="1" customWidth="1"/>
    <col min="6" max="6" width="14.85546875" style="1" customWidth="1"/>
    <col min="7" max="8" width="15.7109375" style="1" customWidth="1"/>
    <col min="9" max="9" width="17.140625" style="1" customWidth="1"/>
    <col min="10" max="11" width="15.7109375" style="1" customWidth="1"/>
    <col min="12" max="14" width="9.140625" style="1" customWidth="1"/>
    <col min="15" max="15" width="95.5703125" style="1" customWidth="1"/>
    <col min="16" max="16" width="26.5703125" style="1" customWidth="1"/>
    <col min="17" max="17" width="13.5703125" style="1" bestFit="1" customWidth="1"/>
    <col min="18" max="24" width="9.140625" style="1" customWidth="1"/>
    <col min="25" max="25" width="0" style="1" hidden="1" customWidth="1"/>
    <col min="26" max="16384" width="9.140625" style="1" hidden="1"/>
  </cols>
  <sheetData>
    <row r="1" spans="1:24" s="18" customFormat="1">
      <c r="A1" s="69"/>
      <c r="B1" s="69"/>
      <c r="C1" s="69"/>
      <c r="D1" s="69"/>
      <c r="E1" s="69"/>
      <c r="F1" s="69"/>
      <c r="G1" s="69"/>
      <c r="H1" s="69"/>
      <c r="I1" s="69"/>
      <c r="J1" s="69"/>
      <c r="K1" s="69"/>
      <c r="L1" s="69"/>
      <c r="M1" s="69"/>
      <c r="N1" s="69"/>
      <c r="O1" s="69"/>
      <c r="P1" s="69"/>
      <c r="Q1" s="69"/>
      <c r="R1" s="69"/>
      <c r="S1" s="69"/>
      <c r="T1" s="69"/>
      <c r="U1" s="69"/>
      <c r="V1" s="69"/>
      <c r="W1" s="69"/>
      <c r="X1" s="69"/>
    </row>
    <row r="2" spans="1:24" s="18" customFormat="1" ht="26.25">
      <c r="A2" s="69"/>
      <c r="B2" s="70" t="s">
        <v>126</v>
      </c>
      <c r="C2" s="69"/>
      <c r="D2" s="69"/>
      <c r="E2" s="69"/>
      <c r="F2" s="69"/>
      <c r="G2" s="69"/>
      <c r="H2" s="69"/>
      <c r="I2" s="69"/>
      <c r="J2" s="69"/>
      <c r="K2" s="69"/>
      <c r="L2" s="69"/>
      <c r="M2" s="69"/>
      <c r="N2" s="69"/>
      <c r="O2" s="69"/>
      <c r="P2" s="69"/>
      <c r="Q2" s="69"/>
      <c r="R2" s="69"/>
      <c r="S2" s="69"/>
      <c r="T2" s="69"/>
      <c r="U2" s="69"/>
      <c r="V2" s="69"/>
      <c r="W2" s="69"/>
      <c r="X2" s="69"/>
    </row>
    <row r="3" spans="1:24" s="18" customFormat="1">
      <c r="A3" s="69"/>
      <c r="B3" s="69"/>
      <c r="C3" s="69"/>
      <c r="D3" s="69"/>
      <c r="E3" s="69"/>
      <c r="F3" s="69"/>
      <c r="G3" s="69"/>
      <c r="H3" s="69"/>
      <c r="I3" s="69"/>
      <c r="J3" s="69"/>
      <c r="K3" s="69"/>
      <c r="L3" s="69"/>
      <c r="M3" s="69"/>
      <c r="N3" s="69"/>
      <c r="O3" s="69"/>
      <c r="P3" s="69"/>
      <c r="Q3" s="69"/>
      <c r="R3" s="69"/>
      <c r="S3" s="69"/>
      <c r="T3" s="69"/>
      <c r="U3" s="69"/>
      <c r="V3" s="69"/>
      <c r="W3" s="69"/>
      <c r="X3" s="69"/>
    </row>
    <row r="4" spans="1:24" ht="15.75">
      <c r="B4" s="182" t="s">
        <v>127</v>
      </c>
      <c r="C4" s="43"/>
      <c r="D4" s="43"/>
      <c r="E4" s="43"/>
      <c r="F4" s="43"/>
      <c r="G4" s="43"/>
    </row>
    <row r="5" spans="1:24" ht="15.75">
      <c r="B5" s="42" t="s">
        <v>128</v>
      </c>
      <c r="C5" s="43"/>
      <c r="D5" s="43"/>
      <c r="E5" s="43"/>
      <c r="F5" s="43"/>
      <c r="H5" s="44" t="s">
        <v>129</v>
      </c>
    </row>
    <row r="6" spans="1:24" ht="15.75" hidden="1">
      <c r="B6" s="43"/>
      <c r="C6" s="43"/>
      <c r="D6" s="43"/>
      <c r="E6" s="43"/>
      <c r="F6" s="43"/>
      <c r="G6" s="44"/>
    </row>
    <row r="7" spans="1:24" ht="15.75" hidden="1">
      <c r="B7" s="43"/>
      <c r="C7" s="43"/>
      <c r="D7" s="43"/>
      <c r="E7" s="43"/>
      <c r="F7" s="43"/>
      <c r="G7" s="44"/>
    </row>
    <row r="8" spans="1:24" ht="15.75" hidden="1">
      <c r="B8" s="43"/>
      <c r="C8" s="43"/>
      <c r="D8" s="43"/>
      <c r="E8" s="43"/>
      <c r="F8" s="43"/>
      <c r="G8" s="44"/>
    </row>
    <row r="9" spans="1:24" ht="15.75" hidden="1">
      <c r="B9" s="43"/>
      <c r="C9" s="43"/>
      <c r="D9" s="43"/>
      <c r="E9" s="43"/>
      <c r="F9" s="43"/>
      <c r="G9" s="44"/>
    </row>
    <row r="10" spans="1:24" ht="15.75" hidden="1">
      <c r="B10" s="43"/>
      <c r="C10" s="43"/>
      <c r="D10" s="43"/>
      <c r="E10" s="43"/>
      <c r="F10" s="43"/>
      <c r="G10" s="44"/>
    </row>
    <row r="11" spans="1:24" ht="15.75" hidden="1">
      <c r="B11" s="43"/>
      <c r="C11" s="43"/>
      <c r="D11" s="43"/>
      <c r="E11" s="43"/>
      <c r="F11" s="43"/>
      <c r="G11" s="44"/>
    </row>
    <row r="12" spans="1:24" ht="15.75" hidden="1">
      <c r="B12" s="43"/>
      <c r="C12" s="43"/>
      <c r="D12" s="43"/>
      <c r="E12" s="43"/>
      <c r="F12" s="43"/>
      <c r="G12" s="44"/>
    </row>
    <row r="13" spans="1:24" ht="15.75">
      <c r="B13" s="43"/>
      <c r="C13" s="43"/>
      <c r="D13" s="43"/>
      <c r="E13" s="43"/>
      <c r="F13" s="43"/>
      <c r="G13" s="44"/>
    </row>
    <row r="14" spans="1:24" ht="60">
      <c r="C14" s="20"/>
      <c r="D14" s="20"/>
      <c r="E14" s="20"/>
      <c r="F14" s="20"/>
      <c r="G14" s="54" t="s">
        <v>24</v>
      </c>
      <c r="H14" s="54" t="s">
        <v>25</v>
      </c>
      <c r="I14" s="54" t="s">
        <v>26</v>
      </c>
      <c r="J14" s="54" t="s">
        <v>27</v>
      </c>
      <c r="K14" s="54" t="s">
        <v>29</v>
      </c>
      <c r="L14" s="54" t="s">
        <v>31</v>
      </c>
      <c r="M14" s="54" t="s">
        <v>32</v>
      </c>
      <c r="N14" s="54" t="s">
        <v>33</v>
      </c>
    </row>
    <row r="15" spans="1:24" ht="30">
      <c r="B15" s="54" t="s">
        <v>21</v>
      </c>
      <c r="C15" s="53" t="s">
        <v>54</v>
      </c>
      <c r="D15" s="53" t="str">
        <f>N15</f>
        <v>C/N ratio</v>
      </c>
      <c r="E15" s="53"/>
      <c r="F15" s="53" t="s">
        <v>130</v>
      </c>
      <c r="G15" s="54" t="s">
        <v>131</v>
      </c>
      <c r="H15" s="54" t="s">
        <v>132</v>
      </c>
      <c r="I15" s="54" t="s">
        <v>133</v>
      </c>
      <c r="J15" s="54" t="s">
        <v>134</v>
      </c>
      <c r="K15" s="54" t="s">
        <v>44</v>
      </c>
      <c r="L15" s="54" t="s">
        <v>46</v>
      </c>
      <c r="M15" s="54" t="s">
        <v>47</v>
      </c>
      <c r="N15" s="54" t="s">
        <v>38</v>
      </c>
      <c r="O15" s="54" t="s">
        <v>135</v>
      </c>
      <c r="P15" s="54" t="s">
        <v>136</v>
      </c>
    </row>
    <row r="16" spans="1:24" s="24" customFormat="1">
      <c r="B16" s="49" t="s">
        <v>137</v>
      </c>
      <c r="C16" s="10" t="str">
        <f>IF(G16&gt;0.9,"Very high",IF(G16&gt;0.75,"High",IF(G16&gt;0.5,"Medium",IF(G16&gt;0.2,"Low","Very low"))))</f>
        <v>Very high</v>
      </c>
      <c r="D16" s="10"/>
      <c r="E16" s="10"/>
      <c r="F16" s="10" t="s">
        <v>138</v>
      </c>
      <c r="G16" s="27">
        <v>1</v>
      </c>
      <c r="H16" s="27">
        <v>0</v>
      </c>
      <c r="I16" s="27">
        <v>0</v>
      </c>
      <c r="J16" s="27">
        <v>0</v>
      </c>
      <c r="K16" s="27">
        <v>0</v>
      </c>
      <c r="L16" s="27">
        <v>0</v>
      </c>
      <c r="M16" s="27">
        <v>0</v>
      </c>
      <c r="N16" s="27"/>
      <c r="O16" s="23"/>
      <c r="P16" s="23"/>
    </row>
    <row r="17" spans="2:18" s="24" customFormat="1" ht="45">
      <c r="B17" s="49" t="s">
        <v>139</v>
      </c>
      <c r="C17" s="10" t="str">
        <f t="shared" ref="C17:C29" si="0">IF(G17&gt;0.9,"Very high",IF(G17&gt;0.75,"High",IF(G17&gt;0.5,"Medium",IF(G17&gt;0.2,"Low","Very low"))))</f>
        <v>High</v>
      </c>
      <c r="D17" s="148">
        <f>N17</f>
        <v>11.423454090150253</v>
      </c>
      <c r="E17" s="10"/>
      <c r="F17" s="10" t="s">
        <v>140</v>
      </c>
      <c r="G17" s="26">
        <v>0.85</v>
      </c>
      <c r="H17" s="26">
        <f t="shared" ref="H17:H22" si="1">1-G17</f>
        <v>0.15000000000000002</v>
      </c>
      <c r="I17" s="26">
        <v>0.82941200000000004</v>
      </c>
      <c r="J17" s="26">
        <f>2.3319%/H17</f>
        <v>0.15545999999999999</v>
      </c>
      <c r="K17" s="26">
        <v>0.14799999999999999</v>
      </c>
      <c r="L17" s="33">
        <f t="shared" ref="L17:L20" si="2">0.55*I17</f>
        <v>0.45617660000000004</v>
      </c>
      <c r="M17" s="33">
        <f>0.599%/H17</f>
        <v>3.9933333333333328E-2</v>
      </c>
      <c r="N17" s="34">
        <f t="shared" ref="N17:N22" si="3">L17/M17</f>
        <v>11.423454090150253</v>
      </c>
      <c r="O17" s="19" t="s">
        <v>141</v>
      </c>
      <c r="P17" s="25" t="s">
        <v>142</v>
      </c>
    </row>
    <row r="18" spans="2:18" s="24" customFormat="1" ht="60">
      <c r="B18" s="49" t="s">
        <v>143</v>
      </c>
      <c r="C18" s="10" t="str">
        <f t="shared" si="0"/>
        <v>High</v>
      </c>
      <c r="D18" s="148">
        <f t="shared" ref="D18:D29" si="4">N18</f>
        <v>6.2786953727506418</v>
      </c>
      <c r="E18" s="10"/>
      <c r="F18" s="10" t="s">
        <v>140</v>
      </c>
      <c r="G18" s="26">
        <v>0.9</v>
      </c>
      <c r="H18" s="26">
        <f t="shared" si="1"/>
        <v>9.9999999999999978E-2</v>
      </c>
      <c r="I18" s="26">
        <v>0.88815</v>
      </c>
      <c r="J18" s="26">
        <f>1.118%/H18</f>
        <v>0.11180000000000004</v>
      </c>
      <c r="K18" s="26">
        <v>0.33979999999999999</v>
      </c>
      <c r="L18" s="33">
        <f t="shared" si="2"/>
        <v>0.48848250000000004</v>
      </c>
      <c r="M18" s="33">
        <f>0.778%/H18</f>
        <v>7.7800000000000022E-2</v>
      </c>
      <c r="N18" s="34">
        <f t="shared" si="3"/>
        <v>6.2786953727506418</v>
      </c>
      <c r="O18" s="19" t="s">
        <v>144</v>
      </c>
      <c r="P18" s="25" t="s">
        <v>142</v>
      </c>
    </row>
    <row r="19" spans="2:18" s="24" customFormat="1" ht="45">
      <c r="B19" s="49" t="s">
        <v>145</v>
      </c>
      <c r="C19" s="10" t="str">
        <f t="shared" si="0"/>
        <v>Medium</v>
      </c>
      <c r="D19" s="148">
        <f t="shared" si="4"/>
        <v>7.1167424191374673</v>
      </c>
      <c r="E19" s="10"/>
      <c r="F19" s="10" t="s">
        <v>140</v>
      </c>
      <c r="G19" s="26">
        <v>0.745</v>
      </c>
      <c r="H19" s="26">
        <f t="shared" si="1"/>
        <v>0.255</v>
      </c>
      <c r="I19" s="26">
        <v>0.75302999999999998</v>
      </c>
      <c r="J19" s="26">
        <f>6.288%/H19</f>
        <v>0.24658823529411766</v>
      </c>
      <c r="K19" s="26">
        <v>0.27600000000000002</v>
      </c>
      <c r="L19" s="33">
        <f t="shared" si="2"/>
        <v>0.41416650000000005</v>
      </c>
      <c r="M19" s="33">
        <f>1.484%/H19</f>
        <v>5.8196078431372547E-2</v>
      </c>
      <c r="N19" s="34">
        <f t="shared" si="3"/>
        <v>7.1167424191374673</v>
      </c>
      <c r="O19" s="19" t="s">
        <v>146</v>
      </c>
      <c r="P19" s="25" t="s">
        <v>142</v>
      </c>
    </row>
    <row r="20" spans="2:18" s="24" customFormat="1" ht="60">
      <c r="B20" s="50" t="s">
        <v>147</v>
      </c>
      <c r="C20" s="10" t="str">
        <f t="shared" si="0"/>
        <v>High</v>
      </c>
      <c r="D20" s="148">
        <f t="shared" si="4"/>
        <v>24.389199999999995</v>
      </c>
      <c r="E20" s="10"/>
      <c r="F20" s="10" t="s">
        <v>140</v>
      </c>
      <c r="G20" s="26">
        <v>0.77</v>
      </c>
      <c r="H20" s="26">
        <f t="shared" si="1"/>
        <v>0.22999999999999998</v>
      </c>
      <c r="I20" s="26">
        <v>0.96399999999999997</v>
      </c>
      <c r="J20" s="26">
        <f>0.828%/H20</f>
        <v>3.5999999999999997E-2</v>
      </c>
      <c r="K20" s="26">
        <v>0.36099999999999999</v>
      </c>
      <c r="L20" s="33">
        <f t="shared" si="2"/>
        <v>0.5302</v>
      </c>
      <c r="M20" s="33">
        <f>0.5%/H20</f>
        <v>2.1739130434782612E-2</v>
      </c>
      <c r="N20" s="34">
        <f t="shared" si="3"/>
        <v>24.389199999999995</v>
      </c>
      <c r="O20" s="19" t="s">
        <v>148</v>
      </c>
      <c r="P20" s="25" t="s">
        <v>142</v>
      </c>
    </row>
    <row r="21" spans="2:18" s="24" customFormat="1" ht="75">
      <c r="B21" s="49" t="s">
        <v>149</v>
      </c>
      <c r="C21" s="10" t="str">
        <f t="shared" ref="C21" si="5">IF(G21&gt;0.9,"Very high",IF(G21&gt;0.75,"High",IF(G21&gt;0.5,"Medium",IF(G21&gt;0.2,"Low","Very low"))))</f>
        <v>Very high</v>
      </c>
      <c r="D21" s="148">
        <f t="shared" si="4"/>
        <v>8</v>
      </c>
      <c r="E21" s="10"/>
      <c r="F21" s="10" t="s">
        <v>150</v>
      </c>
      <c r="G21" s="26">
        <v>0.95</v>
      </c>
      <c r="H21" s="26">
        <f t="shared" si="1"/>
        <v>5.0000000000000044E-2</v>
      </c>
      <c r="I21" s="26">
        <f>3.4%/H21</f>
        <v>0.67999999999999949</v>
      </c>
      <c r="J21" s="26">
        <f>1.6%/H21</f>
        <v>0.31999999999999973</v>
      </c>
      <c r="K21" s="26">
        <f>0.38/I21</f>
        <v>0.55882352941176516</v>
      </c>
      <c r="L21" s="33">
        <f>N21*M21</f>
        <v>0.45999999999999996</v>
      </c>
      <c r="M21" s="33">
        <f>AVERAGE(0.055,0.06)</f>
        <v>5.7499999999999996E-2</v>
      </c>
      <c r="N21" s="34">
        <f>AVERAGE(6,10)</f>
        <v>8</v>
      </c>
      <c r="O21" s="28" t="s">
        <v>151</v>
      </c>
      <c r="P21" s="25" t="s">
        <v>152</v>
      </c>
    </row>
    <row r="22" spans="2:18" s="24" customFormat="1" ht="45">
      <c r="B22" s="51" t="s">
        <v>153</v>
      </c>
      <c r="C22" s="10" t="str">
        <f t="shared" si="0"/>
        <v>Very high</v>
      </c>
      <c r="D22" s="148">
        <f t="shared" si="4"/>
        <v>0.82352941176470607</v>
      </c>
      <c r="E22" s="10"/>
      <c r="F22" s="10" t="s">
        <v>154</v>
      </c>
      <c r="G22" s="26">
        <f>AVERAGE(0.93,0.96)</f>
        <v>0.94500000000000006</v>
      </c>
      <c r="H22" s="26">
        <f t="shared" si="1"/>
        <v>5.4999999999999938E-2</v>
      </c>
      <c r="I22" s="26">
        <v>0</v>
      </c>
      <c r="J22" s="26">
        <v>0</v>
      </c>
      <c r="K22" s="26">
        <v>0</v>
      </c>
      <c r="L22" s="33">
        <f>AVERAGE(0.11,0.17)</f>
        <v>0.14000000000000001</v>
      </c>
      <c r="M22" s="33">
        <f>AVERAGE(0.15,0.19)</f>
        <v>0.16999999999999998</v>
      </c>
      <c r="N22" s="34">
        <f t="shared" si="3"/>
        <v>0.82352941176470607</v>
      </c>
      <c r="O22" s="28" t="s">
        <v>155</v>
      </c>
      <c r="P22" s="25" t="s">
        <v>156</v>
      </c>
    </row>
    <row r="23" spans="2:18" s="24" customFormat="1">
      <c r="B23" s="49" t="s">
        <v>157</v>
      </c>
      <c r="C23" s="10" t="str">
        <f t="shared" si="0"/>
        <v>Very high</v>
      </c>
      <c r="D23" s="148">
        <f t="shared" si="4"/>
        <v>0</v>
      </c>
      <c r="E23" s="10"/>
      <c r="F23" s="10" t="s">
        <v>138</v>
      </c>
      <c r="G23" s="26">
        <v>1</v>
      </c>
      <c r="H23" s="26">
        <v>0</v>
      </c>
      <c r="I23" s="26">
        <v>0</v>
      </c>
      <c r="J23" s="26">
        <v>0</v>
      </c>
      <c r="K23" s="26">
        <v>0</v>
      </c>
      <c r="L23" s="35">
        <v>0</v>
      </c>
      <c r="M23" s="35">
        <v>0</v>
      </c>
      <c r="N23" s="27"/>
      <c r="O23" s="30" t="s">
        <v>158</v>
      </c>
      <c r="P23" s="30"/>
    </row>
    <row r="24" spans="2:18" s="24" customFormat="1" ht="45">
      <c r="B24" s="49" t="s">
        <v>159</v>
      </c>
      <c r="C24" s="10" t="str">
        <f t="shared" si="0"/>
        <v>Very low</v>
      </c>
      <c r="D24" s="148">
        <f t="shared" si="4"/>
        <v>49.726830530401045</v>
      </c>
      <c r="E24" s="10"/>
      <c r="F24" s="10" t="s">
        <v>160</v>
      </c>
      <c r="G24" s="27">
        <v>0.122</v>
      </c>
      <c r="H24" s="26">
        <f t="shared" ref="H24:H29" si="6">1-G24</f>
        <v>0.878</v>
      </c>
      <c r="I24" s="27">
        <v>0.79600000000000004</v>
      </c>
      <c r="J24" s="26">
        <f>17.911%/H24</f>
        <v>0.20399772209567199</v>
      </c>
      <c r="K24" s="26">
        <v>0.48299999999999998</v>
      </c>
      <c r="L24" s="33">
        <f>0.55*I24</f>
        <v>0.43780000000000008</v>
      </c>
      <c r="M24" s="33">
        <f>0.773%/H24</f>
        <v>8.8041002277904328E-3</v>
      </c>
      <c r="N24" s="34">
        <f t="shared" ref="N24:N29" si="7">L24/M24</f>
        <v>49.726830530401045</v>
      </c>
      <c r="O24" s="19" t="s">
        <v>161</v>
      </c>
      <c r="P24" s="25" t="s">
        <v>142</v>
      </c>
    </row>
    <row r="25" spans="2:18" s="24" customFormat="1" ht="60">
      <c r="B25" s="49" t="s">
        <v>162</v>
      </c>
      <c r="C25" s="10" t="str">
        <f t="shared" si="0"/>
        <v>Low</v>
      </c>
      <c r="D25" s="148">
        <f t="shared" si="4"/>
        <v>57.116810270270271</v>
      </c>
      <c r="E25" s="10"/>
      <c r="F25" s="10" t="s">
        <v>163</v>
      </c>
      <c r="G25" s="26">
        <v>0.22359999999999999</v>
      </c>
      <c r="H25" s="26">
        <f t="shared" si="6"/>
        <v>0.77639999999999998</v>
      </c>
      <c r="I25" s="26">
        <v>0.98980000000000001</v>
      </c>
      <c r="J25" s="26">
        <f>0.81%/H25</f>
        <v>1.0432766615146834E-2</v>
      </c>
      <c r="K25" s="26">
        <v>8.5000000000000006E-2</v>
      </c>
      <c r="L25" s="33">
        <f>0.55*I25</f>
        <v>0.54439000000000004</v>
      </c>
      <c r="M25" s="33">
        <f>0.74%/H25</f>
        <v>9.5311695002576E-3</v>
      </c>
      <c r="N25" s="34">
        <f t="shared" si="7"/>
        <v>57.116810270270271</v>
      </c>
      <c r="O25" s="28" t="s">
        <v>164</v>
      </c>
      <c r="P25" s="25" t="s">
        <v>142</v>
      </c>
    </row>
    <row r="26" spans="2:18" s="24" customFormat="1" ht="45">
      <c r="B26" s="49" t="s">
        <v>165</v>
      </c>
      <c r="C26" s="10" t="str">
        <f t="shared" si="0"/>
        <v>Very low</v>
      </c>
      <c r="D26" s="148">
        <f t="shared" si="4"/>
        <v>142.14285714285714</v>
      </c>
      <c r="E26" s="10"/>
      <c r="F26" s="10" t="s">
        <v>166</v>
      </c>
      <c r="G26" s="10">
        <v>0.1</v>
      </c>
      <c r="H26" s="26">
        <f t="shared" si="6"/>
        <v>0.9</v>
      </c>
      <c r="I26" s="10">
        <v>0.96399999999999997</v>
      </c>
      <c r="J26" s="36">
        <f>3.02%/H26</f>
        <v>3.3555555555555554E-2</v>
      </c>
      <c r="K26" s="10">
        <v>1.1599999999999999E-2</v>
      </c>
      <c r="L26" s="37">
        <v>0.4975</v>
      </c>
      <c r="M26" s="37">
        <v>3.5000000000000001E-3</v>
      </c>
      <c r="N26" s="34">
        <f t="shared" si="7"/>
        <v>142.14285714285714</v>
      </c>
      <c r="O26" s="19" t="s">
        <v>167</v>
      </c>
      <c r="P26" s="23" t="s">
        <v>168</v>
      </c>
      <c r="R26" s="29"/>
    </row>
    <row r="27" spans="2:18" s="24" customFormat="1" ht="60">
      <c r="B27" s="49" t="s">
        <v>169</v>
      </c>
      <c r="C27" s="10" t="str">
        <f t="shared" si="0"/>
        <v>Very low</v>
      </c>
      <c r="D27" s="148">
        <f t="shared" si="4"/>
        <v>245.47050000000002</v>
      </c>
      <c r="E27" s="10"/>
      <c r="F27" s="10" t="s">
        <v>160</v>
      </c>
      <c r="G27" s="10">
        <v>0.1</v>
      </c>
      <c r="H27" s="10">
        <f t="shared" si="6"/>
        <v>0.9</v>
      </c>
      <c r="I27" s="36">
        <v>0.99180000000000001</v>
      </c>
      <c r="J27" s="36">
        <f>0.74/H27</f>
        <v>0.82222222222222219</v>
      </c>
      <c r="K27" s="10">
        <v>0.20799999999999999</v>
      </c>
      <c r="L27" s="33">
        <f>0.55*I27</f>
        <v>0.54549000000000003</v>
      </c>
      <c r="M27" s="38">
        <f>0.2%/H27</f>
        <v>2.2222222222222222E-3</v>
      </c>
      <c r="N27" s="34">
        <f t="shared" si="7"/>
        <v>245.47050000000002</v>
      </c>
      <c r="O27" s="28" t="s">
        <v>164</v>
      </c>
      <c r="P27" s="25" t="s">
        <v>142</v>
      </c>
    </row>
    <row r="28" spans="2:18" s="24" customFormat="1" ht="60">
      <c r="B28" s="49" t="s">
        <v>170</v>
      </c>
      <c r="C28" s="10" t="str">
        <f t="shared" si="0"/>
        <v>Low</v>
      </c>
      <c r="D28" s="148">
        <f t="shared" si="4"/>
        <v>34.065533333333327</v>
      </c>
      <c r="E28" s="10"/>
      <c r="F28" s="10" t="s">
        <v>160</v>
      </c>
      <c r="G28" s="10">
        <v>0.38200000000000001</v>
      </c>
      <c r="H28" s="10">
        <f t="shared" si="6"/>
        <v>0.61799999999999999</v>
      </c>
      <c r="I28" s="36">
        <v>0.90200000000000002</v>
      </c>
      <c r="J28" s="36">
        <f>6.06%/H28</f>
        <v>9.8058252427184453E-2</v>
      </c>
      <c r="K28" s="39">
        <f>30.6/1000</f>
        <v>3.0600000000000002E-2</v>
      </c>
      <c r="L28" s="33">
        <f>0.55*I28</f>
        <v>0.49610000000000004</v>
      </c>
      <c r="M28" s="38">
        <f>0.9%/H28</f>
        <v>1.4563106796116507E-2</v>
      </c>
      <c r="N28" s="34">
        <f t="shared" si="7"/>
        <v>34.065533333333327</v>
      </c>
      <c r="O28" s="28" t="s">
        <v>164</v>
      </c>
      <c r="P28" s="25" t="s">
        <v>142</v>
      </c>
    </row>
    <row r="29" spans="2:18" s="24" customFormat="1" ht="60">
      <c r="B29" s="49" t="s">
        <v>171</v>
      </c>
      <c r="C29" s="10" t="str">
        <f t="shared" si="0"/>
        <v>High</v>
      </c>
      <c r="D29" s="148">
        <f t="shared" si="4"/>
        <v>10.626000000000003</v>
      </c>
      <c r="E29" s="10"/>
      <c r="F29" s="10" t="s">
        <v>160</v>
      </c>
      <c r="G29" s="10">
        <v>0.82</v>
      </c>
      <c r="H29" s="10">
        <f t="shared" si="6"/>
        <v>0.18000000000000005</v>
      </c>
      <c r="I29" s="10">
        <v>0.96599999999999997</v>
      </c>
      <c r="J29" s="36">
        <f>2.859%/H29</f>
        <v>0.1588333333333333</v>
      </c>
      <c r="K29" s="10">
        <v>0.13600000000000001</v>
      </c>
      <c r="L29" s="33">
        <f>0.55*I29</f>
        <v>0.53129999999999999</v>
      </c>
      <c r="M29" s="38">
        <f>0.9%/H29</f>
        <v>4.9999999999999989E-2</v>
      </c>
      <c r="N29" s="34">
        <f t="shared" si="7"/>
        <v>10.626000000000003</v>
      </c>
      <c r="O29" s="28" t="s">
        <v>164</v>
      </c>
      <c r="P29" s="25" t="s">
        <v>142</v>
      </c>
    </row>
    <row r="30" spans="2:18" s="24" customFormat="1">
      <c r="B30" s="49" t="s">
        <v>172</v>
      </c>
      <c r="C30" s="10"/>
      <c r="D30" s="10"/>
      <c r="E30" s="10"/>
      <c r="F30" s="10"/>
      <c r="G30" s="10"/>
      <c r="H30" s="10"/>
      <c r="I30" s="10"/>
      <c r="J30" s="36"/>
      <c r="K30" s="10"/>
      <c r="L30" s="33"/>
      <c r="M30" s="38"/>
      <c r="N30" s="34"/>
      <c r="O30" s="28"/>
      <c r="P30" s="25"/>
    </row>
    <row r="31" spans="2:18" s="24" customFormat="1">
      <c r="B31" s="49" t="s">
        <v>172</v>
      </c>
      <c r="C31" s="10"/>
      <c r="D31" s="10"/>
      <c r="E31" s="10"/>
      <c r="F31" s="10"/>
      <c r="G31" s="10"/>
      <c r="H31" s="10"/>
      <c r="I31" s="10"/>
      <c r="J31" s="36"/>
      <c r="K31" s="10"/>
      <c r="L31" s="33"/>
      <c r="M31" s="38"/>
      <c r="N31" s="34"/>
      <c r="O31" s="28"/>
      <c r="P31" s="25"/>
    </row>
    <row r="32" spans="2:18" s="24" customFormat="1">
      <c r="B32" s="49" t="s">
        <v>172</v>
      </c>
      <c r="C32" s="10"/>
      <c r="D32" s="10"/>
      <c r="E32" s="10"/>
      <c r="F32" s="10"/>
      <c r="G32" s="10"/>
      <c r="H32" s="10"/>
      <c r="I32" s="10"/>
      <c r="J32" s="36"/>
      <c r="K32" s="10"/>
      <c r="L32" s="33"/>
      <c r="M32" s="38"/>
      <c r="N32" s="34"/>
      <c r="O32" s="28"/>
      <c r="P32" s="25"/>
    </row>
    <row r="33" spans="2:16" s="24" customFormat="1">
      <c r="B33" s="49" t="s">
        <v>172</v>
      </c>
      <c r="C33" s="10"/>
      <c r="D33" s="10"/>
      <c r="E33" s="10"/>
      <c r="F33" s="10"/>
      <c r="G33" s="10"/>
      <c r="H33" s="10"/>
      <c r="I33" s="10"/>
      <c r="J33" s="36"/>
      <c r="K33" s="10"/>
      <c r="L33" s="33"/>
      <c r="M33" s="38"/>
      <c r="N33" s="34"/>
      <c r="O33" s="28"/>
      <c r="P33" s="25"/>
    </row>
    <row r="34" spans="2:16" s="24" customFormat="1">
      <c r="B34" s="49" t="s">
        <v>172</v>
      </c>
      <c r="C34" s="10"/>
      <c r="D34" s="10"/>
      <c r="E34" s="10"/>
      <c r="F34" s="10"/>
      <c r="G34" s="10"/>
      <c r="H34" s="10"/>
      <c r="I34" s="10"/>
      <c r="J34" s="36"/>
      <c r="K34" s="10"/>
      <c r="L34" s="33"/>
      <c r="M34" s="38"/>
      <c r="N34" s="34"/>
      <c r="O34" s="28"/>
      <c r="P34" s="25"/>
    </row>
    <row r="35" spans="2:16" s="24" customFormat="1">
      <c r="B35" s="49" t="s">
        <v>172</v>
      </c>
      <c r="C35" s="10"/>
      <c r="D35" s="10"/>
      <c r="E35" s="10"/>
      <c r="F35" s="10"/>
      <c r="G35" s="10"/>
      <c r="H35" s="10"/>
      <c r="I35" s="10"/>
      <c r="J35" s="36"/>
      <c r="K35" s="10"/>
      <c r="L35" s="33"/>
      <c r="M35" s="38"/>
      <c r="N35" s="34"/>
      <c r="O35" s="28"/>
      <c r="P35" s="25"/>
    </row>
    <row r="36" spans="2:16" s="24" customFormat="1">
      <c r="B36" s="52"/>
      <c r="J36" s="45"/>
      <c r="L36" s="46"/>
      <c r="M36" s="47"/>
      <c r="N36" s="48"/>
      <c r="O36" s="28"/>
      <c r="P36" s="25"/>
    </row>
    <row r="37" spans="2:16" s="24" customFormat="1">
      <c r="B37" s="52"/>
      <c r="J37" s="45"/>
      <c r="L37" s="46"/>
      <c r="M37" s="47"/>
      <c r="N37" s="48"/>
      <c r="O37" s="28"/>
      <c r="P37" s="25"/>
    </row>
    <row r="38" spans="2:16" s="24" customFormat="1"/>
    <row r="108"/>
    <row r="109"/>
    <row r="110"/>
    <row r="111"/>
    <row r="112"/>
    <row r="113"/>
    <row r="114"/>
    <row r="115"/>
    <row r="116"/>
  </sheetData>
  <hyperlinks>
    <hyperlink ref="H5" r:id="rId1" location=":~:text=The%20AD%20Screening%20Tool%20enables,Annual%20biogas%20and%20digestate%20production" display="Tool link here" xr:uid="{00000000-0004-0000-0200-000000000000}"/>
  </hyperlinks>
  <pageMargins left="0.7" right="0.7" top="0.75" bottom="0.75" header="0.3" footer="0.3"/>
  <pageSetup paperSize="8" scale="50"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J24"/>
  <sheetViews>
    <sheetView zoomScale="115" zoomScaleNormal="115" workbookViewId="0">
      <selection activeCell="B8" sqref="B8"/>
    </sheetView>
  </sheetViews>
  <sheetFormatPr defaultColWidth="0" defaultRowHeight="15" zeroHeight="1"/>
  <cols>
    <col min="1" max="1" width="8.7109375" style="1" customWidth="1"/>
    <col min="2" max="2" width="97.5703125" style="1" customWidth="1"/>
    <col min="3" max="3" width="18.140625" style="1" bestFit="1" customWidth="1"/>
    <col min="4" max="4" width="8.7109375" style="1" customWidth="1"/>
    <col min="5" max="10" width="0" style="1" hidden="1" customWidth="1"/>
    <col min="11" max="16384" width="8.7109375" style="1" hidden="1"/>
  </cols>
  <sheetData>
    <row r="1" spans="1:10" s="69" customFormat="1" ht="21">
      <c r="A1" s="123" t="s">
        <v>173</v>
      </c>
    </row>
    <row r="2" spans="1:10" s="175" customFormat="1" ht="30">
      <c r="A2" s="57"/>
      <c r="B2" s="21" t="s">
        <v>174</v>
      </c>
      <c r="C2" s="1"/>
      <c r="D2" s="1"/>
    </row>
    <row r="3" spans="1:10" s="69" customFormat="1" ht="21">
      <c r="A3" s="123" t="s">
        <v>175</v>
      </c>
    </row>
    <row r="4" spans="1:10" s="175" customFormat="1" ht="30">
      <c r="A4" s="57"/>
      <c r="B4" s="21" t="s">
        <v>176</v>
      </c>
      <c r="C4" s="1"/>
      <c r="D4" s="1"/>
    </row>
    <row r="5" spans="1:10" s="69" customFormat="1" ht="21">
      <c r="A5" s="123" t="s">
        <v>177</v>
      </c>
    </row>
    <row r="6" spans="1:10" ht="30">
      <c r="A6" s="57" t="s">
        <v>114</v>
      </c>
      <c r="B6" s="21" t="s">
        <v>178</v>
      </c>
    </row>
    <row r="7" spans="1:10" ht="30">
      <c r="A7" s="57" t="s">
        <v>179</v>
      </c>
      <c r="B7" s="21" t="s">
        <v>180</v>
      </c>
    </row>
    <row r="8" spans="1:10" ht="30">
      <c r="A8" s="57" t="s">
        <v>181</v>
      </c>
      <c r="B8" s="21" t="s">
        <v>182</v>
      </c>
    </row>
    <row r="9" spans="1:10" ht="30">
      <c r="A9" s="57" t="s">
        <v>183</v>
      </c>
      <c r="B9" s="21" t="s">
        <v>184</v>
      </c>
    </row>
    <row r="10" spans="1:10" ht="30">
      <c r="A10" s="57" t="s">
        <v>116</v>
      </c>
      <c r="B10" s="21" t="s">
        <v>185</v>
      </c>
    </row>
    <row r="11" spans="1:10">
      <c r="A11" s="57" t="s">
        <v>119</v>
      </c>
      <c r="B11" s="22" t="s">
        <v>186</v>
      </c>
    </row>
    <row r="12" spans="1:10">
      <c r="A12" s="57" t="s">
        <v>187</v>
      </c>
      <c r="B12" s="1" t="s">
        <v>188</v>
      </c>
      <c r="D12" s="21"/>
      <c r="E12" s="21"/>
      <c r="F12" s="21"/>
      <c r="G12" s="21"/>
      <c r="H12" s="21"/>
      <c r="I12" s="21"/>
      <c r="J12" s="21"/>
    </row>
    <row r="13" spans="1:10" ht="45">
      <c r="A13" s="57" t="s">
        <v>189</v>
      </c>
      <c r="B13" s="31" t="s">
        <v>190</v>
      </c>
      <c r="D13" s="21"/>
      <c r="E13" s="21"/>
      <c r="F13" s="21"/>
      <c r="G13" s="21"/>
      <c r="H13" s="21"/>
      <c r="I13" s="21"/>
      <c r="J13" s="21"/>
    </row>
    <row r="14" spans="1:10" ht="30">
      <c r="A14" s="57" t="s">
        <v>191</v>
      </c>
      <c r="B14" s="31" t="s">
        <v>192</v>
      </c>
      <c r="D14" s="21"/>
      <c r="E14" s="21"/>
      <c r="F14" s="21"/>
      <c r="G14" s="21"/>
      <c r="H14" s="21"/>
      <c r="I14" s="21"/>
      <c r="J14" s="21"/>
    </row>
    <row r="15" spans="1:10" ht="30">
      <c r="A15" s="57" t="s">
        <v>193</v>
      </c>
      <c r="B15" s="31" t="s">
        <v>194</v>
      </c>
      <c r="D15" s="21"/>
      <c r="E15" s="21"/>
      <c r="F15" s="21"/>
      <c r="G15" s="21"/>
      <c r="H15" s="21"/>
      <c r="I15" s="21"/>
      <c r="J15" s="21"/>
    </row>
    <row r="16" spans="1:10" ht="30">
      <c r="A16" s="57" t="s">
        <v>156</v>
      </c>
      <c r="B16" s="31" t="s">
        <v>195</v>
      </c>
      <c r="D16" s="21"/>
      <c r="E16" s="21"/>
      <c r="F16" s="21"/>
      <c r="G16" s="21"/>
      <c r="H16" s="21"/>
      <c r="I16" s="21"/>
      <c r="J16" s="21"/>
    </row>
    <row r="17" spans="1:2" ht="30">
      <c r="A17" s="57" t="s">
        <v>152</v>
      </c>
      <c r="B17" s="31" t="s">
        <v>196</v>
      </c>
    </row>
    <row r="18" spans="1:2"/>
    <row r="19" spans="1:2"/>
    <row r="20" spans="1:2"/>
    <row r="21" spans="1:2"/>
    <row r="22" spans="1:2"/>
    <row r="23" spans="1:2"/>
    <row r="24" spans="1:2"/>
  </sheetData>
  <sheetProtection algorithmName="SHA-512" hashValue="vzMoVTy6OXCYnV1fY1j6qMl2MdiQ5hAiZc8z9nJoSitdZzwJf3u1egYfJNDP+2+dVJe+oFxphsg13ScNuwDIxw==" saltValue="smXUgL7bcaCLyaW0uW6grA==" spinCount="100000" sheet="1" objects="1" scenarios="1"/>
  <hyperlinks>
    <hyperlink ref="B11" r:id="rId1" display="https://energypedia.info/wiki/Biogas_Stoves" xr:uid="{00000000-0004-0000-03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Yuhei Honda</cp:lastModifiedBy>
  <cp:revision/>
  <dcterms:created xsi:type="dcterms:W3CDTF">2015-06-05T18:19:34Z</dcterms:created>
  <dcterms:modified xsi:type="dcterms:W3CDTF">2024-04-04T08:49:17Z</dcterms:modified>
  <cp:category/>
  <cp:contentStatus/>
</cp:coreProperties>
</file>